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445" windowHeight="4455" firstSheet="3" activeTab="8"/>
  </bookViews>
  <sheets>
    <sheet name="COURS SIG" sheetId="1" r:id="rId1"/>
    <sheet name="CPTERESULTAT" sheetId="2" r:id="rId2"/>
    <sheet name="Evolution résultats" sheetId="3" r:id="rId3"/>
    <sheet name="Graphique" sheetId="4" r:id="rId4"/>
    <sheet name="SIG" sheetId="5" r:id="rId5"/>
    <sheet name="RATIOSSIG" sheetId="6" r:id="rId6"/>
    <sheet name="COURS CAF" sheetId="7" r:id="rId7"/>
    <sheet name="CAF" sheetId="8" r:id="rId8"/>
    <sheet name="RESULTAT DIFFERENTIEL" sheetId="9" r:id="rId9"/>
    <sheet name="SEUIL DE RENTABILITE" sheetId="10" r:id="rId10"/>
    <sheet name="Feuil3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<sst xmlns="http://schemas.openxmlformats.org/spreadsheetml/2006/main" count="957" uniqueCount="702">
  <si>
    <t xml:space="preserve">  . Les produits des cessions d'éléments d'actifs (PCEA).</t>
  </si>
  <si>
    <t xml:space="preserve">- Elle se calcule donc à partir de l'excédent brut d'exploitation (EBE). </t>
  </si>
  <si>
    <r>
      <t xml:space="preserve">    La capacité d'autofinancement est d'abord fonction des performances propres à l'exploitation de l'entreprise</t>
    </r>
    <r>
      <rPr>
        <b/>
        <i/>
        <sz val="10"/>
        <rFont val="Arial"/>
        <family val="2"/>
      </rPr>
      <t xml:space="preserve"> :</t>
    </r>
  </si>
  <si>
    <r>
      <t xml:space="preserve">- Les autres produits </t>
    </r>
    <r>
      <rPr>
        <b/>
        <i/>
        <sz val="10"/>
        <rFont val="Arial"/>
        <family val="2"/>
      </rPr>
      <t>encaissables</t>
    </r>
    <r>
      <rPr>
        <b/>
        <sz val="10"/>
        <rFont val="Arial"/>
        <family val="2"/>
      </rPr>
      <t xml:space="preserve"> (c'est-à-dire non calculés) sont ensuite </t>
    </r>
    <r>
      <rPr>
        <b/>
        <i/>
        <sz val="10"/>
        <rFont val="Arial"/>
        <family val="2"/>
      </rPr>
      <t>ajoutés</t>
    </r>
    <r>
      <rPr>
        <b/>
        <sz val="10"/>
        <rFont val="Arial"/>
        <family val="2"/>
      </rPr>
      <t xml:space="preserve"> à l'EBE :</t>
    </r>
  </si>
  <si>
    <r>
      <t xml:space="preserve">- Les autres charges </t>
    </r>
    <r>
      <rPr>
        <b/>
        <i/>
        <sz val="10"/>
        <rFont val="Arial"/>
        <family val="2"/>
      </rPr>
      <t>décaissables</t>
    </r>
    <r>
      <rPr>
        <b/>
        <sz val="10"/>
        <rFont val="Arial"/>
        <family val="2"/>
      </rPr>
      <t xml:space="preserve"> (c'est-à-dire non calculées) sont enfin à </t>
    </r>
    <r>
      <rPr>
        <b/>
        <i/>
        <sz val="10"/>
        <rFont val="Arial"/>
        <family val="2"/>
      </rPr>
      <t>soustraites</t>
    </r>
    <r>
      <rPr>
        <b/>
        <sz val="10"/>
        <rFont val="Arial"/>
        <family val="2"/>
      </rPr>
      <t xml:space="preserve"> :</t>
    </r>
  </si>
  <si>
    <r>
      <t xml:space="preserve"> -Les produits et charges </t>
    </r>
    <r>
      <rPr>
        <b/>
        <i/>
        <sz val="10"/>
        <rFont val="Arial"/>
        <family val="2"/>
      </rPr>
      <t>calculés</t>
    </r>
    <r>
      <rPr>
        <b/>
        <sz val="10"/>
        <rFont val="Arial"/>
        <family val="2"/>
      </rPr>
      <t xml:space="preserve"> sont exclus :</t>
    </r>
  </si>
  <si>
    <r>
      <t xml:space="preserve">  </t>
    </r>
    <r>
      <rPr>
        <i/>
        <sz val="10"/>
        <rFont val="Arial"/>
        <family val="2"/>
      </rPr>
      <t xml:space="preserve">NB </t>
    </r>
    <r>
      <rPr>
        <b/>
        <i/>
        <sz val="10"/>
        <rFont val="Arial"/>
        <family val="2"/>
      </rPr>
      <t>. La quote-part des subventions d'investissements virée au résultat est aussi exclus.</t>
    </r>
  </si>
  <si>
    <t>- La CAF permet  :</t>
  </si>
  <si>
    <t xml:space="preserve">  . le renouvellement de tout ou partie des investissements grâce aux dotations aux amortissements</t>
  </si>
  <si>
    <t xml:space="preserve">  . la constitution des réserves assurant le remboursement des dettes et le financement des investissements de croissance.</t>
  </si>
  <si>
    <t xml:space="preserve">  . la distribution de dividendes aux actionnaires…</t>
  </si>
  <si>
    <t>X</t>
  </si>
  <si>
    <r>
      <t xml:space="preserve">S </t>
    </r>
    <r>
      <rPr>
        <b/>
        <u val="single"/>
        <sz val="10"/>
        <color indexed="10"/>
        <rFont val="Arial"/>
        <family val="2"/>
      </rPr>
      <t>X</t>
    </r>
  </si>
  <si>
    <r>
      <t xml:space="preserve">à partir du résultat </t>
    </r>
    <r>
      <rPr>
        <b/>
        <i/>
        <sz val="10"/>
        <rFont val="Arial"/>
        <family val="2"/>
      </rPr>
      <t>(vérification)</t>
    </r>
  </si>
  <si>
    <r>
      <t xml:space="preserve">- Quote-part subvent. investis. virée au  résultat </t>
    </r>
    <r>
      <rPr>
        <b/>
        <i/>
        <sz val="8"/>
        <rFont val="Arial"/>
        <family val="2"/>
      </rPr>
      <t>(777.)</t>
    </r>
  </si>
  <si>
    <t>CAF - DIVIDENDES = AUTOFINANCEMENT</t>
  </si>
  <si>
    <r>
      <t xml:space="preserve">- Divers </t>
    </r>
    <r>
      <rPr>
        <b/>
        <sz val="10"/>
        <rFont val="Arial"/>
        <family val="2"/>
      </rPr>
      <t>ratios</t>
    </r>
    <r>
      <rPr>
        <sz val="10"/>
        <rFont val="Arial"/>
        <family val="0"/>
      </rPr>
      <t xml:space="preserve"> facilitent l'analyse.</t>
    </r>
  </si>
  <si>
    <r>
      <t>- L'</t>
    </r>
    <r>
      <rPr>
        <b/>
        <sz val="10"/>
        <rFont val="Arial"/>
        <family val="2"/>
      </rPr>
      <t xml:space="preserve">autofinancement </t>
    </r>
    <r>
      <rPr>
        <sz val="10"/>
        <rFont val="Arial"/>
        <family val="0"/>
      </rPr>
      <t xml:space="preserve">correspond à la fraction disponible après </t>
    </r>
  </si>
  <si>
    <t xml:space="preserve">  distribution des dividendes :</t>
  </si>
  <si>
    <t>CHARGES</t>
  </si>
  <si>
    <t>Exercice N</t>
  </si>
  <si>
    <t>Exercice N-1</t>
  </si>
  <si>
    <t>PRODUITS</t>
  </si>
  <si>
    <t>Charges d'exploitation</t>
  </si>
  <si>
    <t>Produits d'exploitation</t>
  </si>
  <si>
    <t>Achats de marchandises</t>
  </si>
  <si>
    <t>Ventes de marchandise</t>
  </si>
  <si>
    <t xml:space="preserve">   Variation de stocks</t>
  </si>
  <si>
    <t>Production vendue</t>
  </si>
  <si>
    <t>Achats de matières premières et approvisionnements</t>
  </si>
  <si>
    <t xml:space="preserve">   Biens</t>
  </si>
  <si>
    <t xml:space="preserve">   Services</t>
  </si>
  <si>
    <t>Autres achats et charges externes</t>
  </si>
  <si>
    <t>TOTAL A (CA)</t>
  </si>
  <si>
    <t>Impôts, taxes et versements assimilés</t>
  </si>
  <si>
    <t>Production stockée</t>
  </si>
  <si>
    <t>Salaires et traitements</t>
  </si>
  <si>
    <t>Production immobilisée</t>
  </si>
  <si>
    <t>Charges sociales</t>
  </si>
  <si>
    <t>Subventions d'exploitation</t>
  </si>
  <si>
    <t>Dotations aux amortissements et provisions</t>
  </si>
  <si>
    <t>Reprises sur provisions, transfert de charges</t>
  </si>
  <si>
    <t xml:space="preserve">   Amortissements sur immobilisation</t>
  </si>
  <si>
    <t xml:space="preserve">   Provisions sur immobilisation</t>
  </si>
  <si>
    <t>TOTAL B</t>
  </si>
  <si>
    <t xml:space="preserve">   Provisions sur actif circulant</t>
  </si>
  <si>
    <t>TOTAL I (A+B)</t>
  </si>
  <si>
    <t xml:space="preserve">   Provisions pour risques et charges</t>
  </si>
  <si>
    <t>Autres charges</t>
  </si>
  <si>
    <t>TOTAL I</t>
  </si>
  <si>
    <t>Quotes-parts sur opérations faites en commun (II)</t>
  </si>
  <si>
    <t>Charges financières</t>
  </si>
  <si>
    <t>Produits financiers</t>
  </si>
  <si>
    <t>De participation</t>
  </si>
  <si>
    <t>Intérêts et charges assimilées</t>
  </si>
  <si>
    <t>Différence négative de change</t>
  </si>
  <si>
    <t>Autres intérêts et produits assimilés</t>
  </si>
  <si>
    <t>TOTAL III</t>
  </si>
  <si>
    <t>Différence positive de change</t>
  </si>
  <si>
    <t>Charges exceptionnelles</t>
  </si>
  <si>
    <t>Sur opérations de gestion</t>
  </si>
  <si>
    <t>Sur opération en capital</t>
  </si>
  <si>
    <t>PRODUITS EXCEPTIONNELS</t>
  </si>
  <si>
    <t>TOTAL IV</t>
  </si>
  <si>
    <t>Sur opérations en capital</t>
  </si>
  <si>
    <t>Participation des salariés aux fruits de l'expansion (V)</t>
  </si>
  <si>
    <t>Reprises sur provisions et transferts de charges</t>
  </si>
  <si>
    <t>Impôts sur les bénéfices (VI)</t>
  </si>
  <si>
    <t>TOTAL DES CHARGES (I+II+III+IV+V+VI)</t>
  </si>
  <si>
    <t>TOTAL DES PRODUITS (I+II+III+IV)</t>
  </si>
  <si>
    <t>Solde créditeur (bénéfice)</t>
  </si>
  <si>
    <t>Solde débiteur (Perte)</t>
  </si>
  <si>
    <t>TOTAL GENERAL</t>
  </si>
  <si>
    <t>SOLDES</t>
  </si>
  <si>
    <t>INTITULES</t>
  </si>
  <si>
    <t>MODES DE CALCUL</t>
  </si>
  <si>
    <t>RESULTATS</t>
  </si>
  <si>
    <t>COMMENTAIRES</t>
  </si>
  <si>
    <t>La marge commerciale exprime la marge dégagée par l'entreprise</t>
  </si>
  <si>
    <t>Marge</t>
  </si>
  <si>
    <t>Vente de marchandises - Coûts d'achats des</t>
  </si>
  <si>
    <t>sur son activité commerciale.</t>
  </si>
  <si>
    <t>commerciale</t>
  </si>
  <si>
    <t>marchandises vendues (CAMV)</t>
  </si>
  <si>
    <t>(entreprises commerciales ou mixtes).</t>
  </si>
  <si>
    <t>La production mesure tout ce que l'entreprise a pu produire durant l'exercice.</t>
  </si>
  <si>
    <t xml:space="preserve">Production de </t>
  </si>
  <si>
    <t>Production vendue + production stockée</t>
  </si>
  <si>
    <t>l'exercice</t>
  </si>
  <si>
    <t>+ production immobilisée</t>
  </si>
  <si>
    <t>La valeur ajouté est l'expression de la richesse créée par l'entreprise.</t>
  </si>
  <si>
    <t>Valeur ajoutée</t>
  </si>
  <si>
    <t>Marge commerciale+Production de l'exercice</t>
  </si>
  <si>
    <t>Par son savoir-faire commercial ou industriel, l'entreprise vend des biens ou</t>
  </si>
  <si>
    <t>- consommations en provenance des tiers</t>
  </si>
  <si>
    <t>(=(2 076 501+1 998 464,44)-(293 232</t>
  </si>
  <si>
    <t>des services  à un prix supérieur à celui des consommations ou des achats</t>
  </si>
  <si>
    <t>nécessaires pour les obtenir.</t>
  </si>
  <si>
    <t xml:space="preserve">La valeur ajoutée d'une entreprise peut être supérieure à une autre bien que son CA </t>
  </si>
  <si>
    <t>soit inférieur.</t>
  </si>
  <si>
    <t>C'est un indicateur important pour mesurer l'accroissement de la richesse nationale.</t>
  </si>
  <si>
    <t>L'EBE est le résultat calculé avant la prise en considération  des amortissements</t>
  </si>
  <si>
    <t>Excédent Brut d'</t>
  </si>
  <si>
    <t xml:space="preserve">Valeur ajoutée </t>
  </si>
  <si>
    <t>des provisions, des éléments financiers et exceptionnels.</t>
  </si>
  <si>
    <t>Exploitation (EBE)</t>
  </si>
  <si>
    <t>+ subventions - Impôts &amp; taxes - Charges du personnel</t>
  </si>
  <si>
    <t>(=3 338 558,44 + 0 - 44 418 -(1 412 816,34</t>
  </si>
  <si>
    <t>Son intérêt est ne pas être influencé par le mode de calcul des amortissements , la</t>
  </si>
  <si>
    <t>+ 706 408,17))</t>
  </si>
  <si>
    <t>Résultat d'</t>
  </si>
  <si>
    <t xml:space="preserve">EBE </t>
  </si>
  <si>
    <t>Le résultat d'exploitation mesure le bénéfice ou la perte dégagé par l'entreprise durant</t>
  </si>
  <si>
    <t>exploitation</t>
  </si>
  <si>
    <t xml:space="preserve">+ Reprises sur amortis.&amp; provis. + Autres produits de gestion  </t>
  </si>
  <si>
    <t>(=1 174 915,93+10 000+0-385 500-31 210)</t>
  </si>
  <si>
    <t>l'exercice.</t>
  </si>
  <si>
    <t>courante - Dotations aux amortis. &amp; provis. - Autres charges</t>
  </si>
  <si>
    <t>de gestion courante.</t>
  </si>
  <si>
    <t>Résultat courant</t>
  </si>
  <si>
    <t>Résultat d'exploitation</t>
  </si>
  <si>
    <t>Ce résultat courant mesure le poids de l'endettement de l'entreprise dû aux versements</t>
  </si>
  <si>
    <t>avant impôt</t>
  </si>
  <si>
    <t>+ produits financiers - Charges financières</t>
  </si>
  <si>
    <t>(=768 205,93 + 96 176 - 139 496)</t>
  </si>
  <si>
    <t>d'intérêts.</t>
  </si>
  <si>
    <t>Ce calcul tient compte aussi du mode de financement de l'entreprise.</t>
  </si>
  <si>
    <t>(7)</t>
  </si>
  <si>
    <t>(Résultat exceptionnel)</t>
  </si>
  <si>
    <t>(Produits exceptionnels - charges exceptionnelles)</t>
  </si>
  <si>
    <t xml:space="preserve">Les éléments exceptionnels sont par nature peu significatifs, non prévisibles, non </t>
  </si>
  <si>
    <t>(=280 775,07 -171 589)</t>
  </si>
  <si>
    <t>reproductibles.</t>
  </si>
  <si>
    <t>Ils font l'objet de calculs annexes car ils échappent à l'activité courante de l'entreprise</t>
  </si>
  <si>
    <t>Résultat de l'exercice</t>
  </si>
  <si>
    <t>Résultat courant avant impôt +/- résultat exceptionnel</t>
  </si>
  <si>
    <t>C'est le résultat de l'entreprise, calculé en intégrant les résultats d'exploitation, financiers</t>
  </si>
  <si>
    <t>- Participation - Impôt sur les bénéfices</t>
  </si>
  <si>
    <t>et exceptionnels.</t>
  </si>
  <si>
    <t>-341 720)</t>
  </si>
  <si>
    <t>En cas de déficit, il n'y a ni participation des salariés, ni impôt sur les bénéfices.</t>
  </si>
  <si>
    <t>RATIOS</t>
  </si>
  <si>
    <t>EXPRESSIONS</t>
  </si>
  <si>
    <t>SIGNIFICATIONS</t>
  </si>
  <si>
    <t>INTERPRETATIONS</t>
  </si>
  <si>
    <t>CAn-CA(n-1)</t>
  </si>
  <si>
    <t>accroissement du CA d'une année sur l'autre</t>
  </si>
  <si>
    <t>CA(n-1)</t>
  </si>
  <si>
    <t>(=(4 741 463 - 4 515 840,24)/4 515 840,24)</t>
  </si>
  <si>
    <t>Evolution de</t>
  </si>
  <si>
    <t>l'activité</t>
  </si>
  <si>
    <t>VAn-VA(n-1)</t>
  </si>
  <si>
    <t>variation analogue de la valeur ajoutée.</t>
  </si>
  <si>
    <t>Va(n-1)</t>
  </si>
  <si>
    <t>Le rapprochement  de R1 et R2 permet de s'assurer</t>
  </si>
  <si>
    <t>Marge commerciale</t>
  </si>
  <si>
    <t>Exploitation</t>
  </si>
  <si>
    <t>Ce calcul permet la comparaison d'une charge significative</t>
  </si>
  <si>
    <t>Charges totales</t>
  </si>
  <si>
    <t>par rapport à la totalité des charges.</t>
  </si>
  <si>
    <t xml:space="preserve">  l'entreprise maîtrise bien les charges du personnel.</t>
  </si>
  <si>
    <t>Profitabilité</t>
  </si>
  <si>
    <t>Résultat</t>
  </si>
  <si>
    <t xml:space="preserve"> Cette expression montre la rentabilité des capitaux par rapport au</t>
  </si>
  <si>
    <t>- Ce taux est légèrement supérieur au taux de rendement observé</t>
  </si>
  <si>
    <t>capitaux</t>
  </si>
  <si>
    <t>Capitaux propres</t>
  </si>
  <si>
    <t xml:space="preserve">  généralement sur le marché financier.</t>
  </si>
  <si>
    <t>Elle doit être comparée aux performances du marché financier.</t>
  </si>
  <si>
    <t>Répartition de la</t>
  </si>
  <si>
    <t>valeur ajoutée</t>
  </si>
  <si>
    <t>Dotations aux amortissements</t>
  </si>
  <si>
    <t>Ce ratio montre l'effort que l'entreprise consent  au renouvellement  de son</t>
  </si>
  <si>
    <t>outil de production : effort indispensable pour assurer sa pérennité.</t>
  </si>
  <si>
    <t xml:space="preserve">  l'appareil productif.(comparaison nécessaire sur plusieurs années).</t>
  </si>
  <si>
    <t>CAF</t>
  </si>
  <si>
    <t>On peut vérifier ce calcul par la différence entre les produits d'exploitation - les</t>
  </si>
  <si>
    <t>étrangers) ou les charges/produits exceptionnels.</t>
  </si>
  <si>
    <t xml:space="preserve">prise en compte de provisions, le mode de financement (capitaux propres ou </t>
  </si>
  <si>
    <t>Reprises sur provisions</t>
  </si>
  <si>
    <t>Autres produits, transfert de charges</t>
  </si>
  <si>
    <t>Autres valeurs mobilières et créances actif immobilisé</t>
  </si>
  <si>
    <t xml:space="preserve">à partir de l'EBE </t>
  </si>
  <si>
    <r>
      <t>- Autres charges d'exploitation décaissées</t>
    </r>
    <r>
      <rPr>
        <b/>
        <i/>
        <sz val="8"/>
        <rFont val="Arial"/>
        <family val="2"/>
      </rPr>
      <t xml:space="preserve"> ( 65.)</t>
    </r>
  </si>
  <si>
    <r>
      <t xml:space="preserve">- Participation des salariés  au résultat </t>
    </r>
    <r>
      <rPr>
        <b/>
        <i/>
        <sz val="8"/>
        <rFont val="Arial"/>
        <family val="2"/>
      </rPr>
      <t>(691.)</t>
    </r>
  </si>
  <si>
    <r>
      <t xml:space="preserve">- Impôts sur les bénéfices </t>
    </r>
    <r>
      <rPr>
        <b/>
        <i/>
        <sz val="8"/>
        <rFont val="Arial"/>
        <family val="2"/>
      </rPr>
      <t>(695., 696. &amp; 697.)</t>
    </r>
  </si>
  <si>
    <r>
      <t>- charges exceptionnelles</t>
    </r>
    <r>
      <rPr>
        <b/>
        <i/>
        <sz val="8"/>
        <rFont val="Arial"/>
        <family val="2"/>
      </rPr>
      <t xml:space="preserve"> (67. sauf 675.)</t>
    </r>
  </si>
  <si>
    <t>à partir du résultat</t>
  </si>
  <si>
    <r>
      <t>EBE</t>
    </r>
    <r>
      <rPr>
        <i/>
        <sz val="10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(70. à 74.) - (60. à  64.) </t>
    </r>
  </si>
  <si>
    <r>
      <t xml:space="preserve">+ produits exceptionnels </t>
    </r>
    <r>
      <rPr>
        <b/>
        <i/>
        <sz val="8"/>
        <rFont val="Arial"/>
        <family val="2"/>
      </rPr>
      <t>(77. &amp; 797. sauf 775. &amp; 777.)</t>
    </r>
  </si>
  <si>
    <r>
      <t xml:space="preserve">+ Dap  exceptionnelles </t>
    </r>
    <r>
      <rPr>
        <b/>
        <i/>
        <sz val="8"/>
        <rFont val="Arial"/>
        <family val="2"/>
      </rPr>
      <t>(687.)</t>
    </r>
  </si>
  <si>
    <r>
      <t xml:space="preserve">- Rap exceptionnelles </t>
    </r>
    <r>
      <rPr>
        <b/>
        <i/>
        <sz val="8"/>
        <rFont val="Arial"/>
        <family val="2"/>
      </rPr>
      <t>(787.)</t>
    </r>
  </si>
  <si>
    <r>
      <t xml:space="preserve">- Quote-part subvent. investis. virée au cpte de résultat </t>
    </r>
    <r>
      <rPr>
        <b/>
        <i/>
        <sz val="8"/>
        <rFont val="Arial"/>
        <family val="2"/>
      </rPr>
      <t>(777.)</t>
    </r>
  </si>
  <si>
    <r>
      <t xml:space="preserve">+ Autres produits d'exploitation  encaissés </t>
    </r>
    <r>
      <rPr>
        <b/>
        <i/>
        <sz val="8"/>
        <rFont val="Arial"/>
        <family val="2"/>
      </rPr>
      <t>(75. &amp;  791.)</t>
    </r>
  </si>
  <si>
    <r>
      <t xml:space="preserve">+ Charges nettes cession de VMP </t>
    </r>
    <r>
      <rPr>
        <b/>
        <i/>
        <sz val="8"/>
        <rFont val="Arial"/>
        <family val="2"/>
      </rPr>
      <t>(667.)</t>
    </r>
  </si>
  <si>
    <r>
      <t xml:space="preserve">- Produits nets cession VMP </t>
    </r>
    <r>
      <rPr>
        <b/>
        <i/>
        <sz val="8"/>
        <rFont val="Arial"/>
        <family val="2"/>
      </rPr>
      <t>(767.)</t>
    </r>
  </si>
  <si>
    <r>
      <t>- Rap financières</t>
    </r>
    <r>
      <rPr>
        <b/>
        <i/>
        <sz val="8"/>
        <rFont val="Arial"/>
        <family val="2"/>
      </rPr>
      <t xml:space="preserve"> (786.)</t>
    </r>
  </si>
  <si>
    <r>
      <t>+ Dap financières</t>
    </r>
    <r>
      <rPr>
        <b/>
        <i/>
        <sz val="8"/>
        <rFont val="Arial"/>
        <family val="2"/>
      </rPr>
      <t xml:space="preserve"> ( 686.)</t>
    </r>
  </si>
  <si>
    <r>
      <t xml:space="preserve">+ Pertes au change </t>
    </r>
    <r>
      <rPr>
        <b/>
        <i/>
        <sz val="8"/>
        <rFont val="Arial"/>
        <family val="2"/>
      </rPr>
      <t>(666.)</t>
    </r>
  </si>
  <si>
    <r>
      <t xml:space="preserve">- Gains au change </t>
    </r>
    <r>
      <rPr>
        <b/>
        <i/>
        <sz val="8"/>
        <rFont val="Arial"/>
        <family val="2"/>
      </rPr>
      <t>(766.)</t>
    </r>
  </si>
  <si>
    <r>
      <t>+ Dap d'exploitation</t>
    </r>
    <r>
      <rPr>
        <b/>
        <i/>
        <sz val="8"/>
        <rFont val="Arial"/>
        <family val="2"/>
      </rPr>
      <t xml:space="preserve"> (681.)</t>
    </r>
  </si>
  <si>
    <r>
      <t xml:space="preserve">- Rap d'exploitation </t>
    </r>
    <r>
      <rPr>
        <b/>
        <i/>
        <sz val="8"/>
        <rFont val="Arial"/>
        <family val="2"/>
      </rPr>
      <t>(781.)</t>
    </r>
  </si>
  <si>
    <r>
      <t xml:space="preserve">+ produits financiers encaissés  </t>
    </r>
    <r>
      <rPr>
        <b/>
        <i/>
        <sz val="8"/>
        <rFont val="Arial"/>
        <family val="2"/>
      </rPr>
      <t>(76. &amp; 796. sauf 766 et 767.)</t>
    </r>
  </si>
  <si>
    <r>
      <t>- charges financières décaissées</t>
    </r>
    <r>
      <rPr>
        <b/>
        <i/>
        <sz val="8"/>
        <rFont val="Arial"/>
        <family val="2"/>
      </rPr>
      <t xml:space="preserve"> (66. sauf 666. et 667.)</t>
    </r>
  </si>
  <si>
    <t>Charges nettes sur cession de VMP</t>
  </si>
  <si>
    <t>Produits nets sur cession de VMP</t>
  </si>
  <si>
    <t>(=(3 338 558,44-3 261 654,91*)/3 261 654,91)</t>
  </si>
  <si>
    <t xml:space="preserve"> résultat d'exploitation.</t>
  </si>
  <si>
    <t>Ebitda</t>
  </si>
  <si>
    <r>
      <t xml:space="preserve">Mat. 1° : </t>
    </r>
    <r>
      <rPr>
        <u val="single"/>
        <sz val="8"/>
        <rFont val="Arial"/>
        <family val="2"/>
      </rPr>
      <t xml:space="preserve">(885 200+(-18 450)) </t>
    </r>
    <r>
      <rPr>
        <u val="single"/>
        <vertAlign val="subscript"/>
        <sz val="8"/>
        <rFont val="Arial"/>
        <family val="2"/>
      </rPr>
      <t>[année N]</t>
    </r>
    <r>
      <rPr>
        <u val="single"/>
        <sz val="8"/>
        <rFont val="Arial"/>
        <family val="2"/>
      </rPr>
      <t xml:space="preserve"> - (745 875+34 200) </t>
    </r>
    <r>
      <rPr>
        <u val="single"/>
        <vertAlign val="subscript"/>
        <sz val="8"/>
        <rFont val="Arial"/>
        <family val="2"/>
      </rPr>
      <t>[année N-1]</t>
    </r>
    <r>
      <rPr>
        <sz val="8"/>
        <rFont val="Arial"/>
        <family val="2"/>
      </rPr>
      <t xml:space="preserve"> = 11,11%</t>
    </r>
  </si>
  <si>
    <t>Marchandises :   …………………………………………………….   = 9,6%</t>
  </si>
  <si>
    <t>Produits exceptionnels</t>
  </si>
  <si>
    <t>N-1</t>
  </si>
  <si>
    <t>N</t>
  </si>
  <si>
    <t>Niveaux</t>
  </si>
  <si>
    <t>%</t>
  </si>
  <si>
    <t>Commentaires.</t>
  </si>
  <si>
    <t>Dans l'hypothèse où ils seraient demeurés identiques à l'exercice N- 1 :</t>
  </si>
  <si>
    <t>résultat N</t>
  </si>
  <si>
    <t>diminution produits exceptionnelles</t>
  </si>
  <si>
    <t>résultat simulé :</t>
  </si>
  <si>
    <t>- Le résultat N, bien que positif, est en recul par rapport à l'exercice N-1 :</t>
  </si>
  <si>
    <t>!!!</t>
  </si>
  <si>
    <t>Soit, une diminution du résultat N par rapport au résultat N-1 de :</t>
  </si>
  <si>
    <t>- Ce résultat bénéficiaire provient essentiellement d'une augmentation des produits exceptionnelles.</t>
  </si>
  <si>
    <t>Eléments de charges</t>
  </si>
  <si>
    <t>exemple = charges du personnel...</t>
  </si>
  <si>
    <t>Rentabilité des</t>
  </si>
  <si>
    <t xml:space="preserve">- R1 &gt; R2 d'où l'entreprise  DROUET a une mauvaise politique d'achats : </t>
  </si>
  <si>
    <t>que la richesse créée suit une évolution comparable au CA.</t>
  </si>
  <si>
    <t>CA ht</t>
  </si>
  <si>
    <t xml:space="preserve"> EBE </t>
  </si>
  <si>
    <t>L'EBE doit représenter 5% du Ca ht pour le commerce, 10% pour l'industrie.</t>
  </si>
  <si>
    <t>(=724 885,93+109 186,07)-122 120</t>
  </si>
  <si>
    <r>
      <t xml:space="preserve">                                (745 875+34 200) </t>
    </r>
    <r>
      <rPr>
        <vertAlign val="subscript"/>
        <sz val="8"/>
        <rFont val="Arial"/>
        <family val="2"/>
      </rPr>
      <t>[année N-1]</t>
    </r>
  </si>
  <si>
    <r>
      <t xml:space="preserve">   Variation de stocks </t>
    </r>
    <r>
      <rPr>
        <sz val="8"/>
        <color indexed="16"/>
        <rFont val="Arial"/>
        <family val="2"/>
      </rPr>
      <t>(SI-SF=)</t>
    </r>
  </si>
  <si>
    <r>
      <t>(= 2 943 251- (885 200</t>
    </r>
    <r>
      <rPr>
        <b/>
        <i/>
        <sz val="8"/>
        <rFont val="Arial"/>
        <family val="2"/>
      </rPr>
      <t>-18 450 *</t>
    </r>
    <r>
      <rPr>
        <i/>
        <sz val="8"/>
        <rFont val="Arial"/>
        <family val="2"/>
      </rPr>
      <t>)</t>
    </r>
  </si>
  <si>
    <r>
      <t>- 17 485*+</t>
    </r>
    <r>
      <rPr>
        <i/>
        <sz val="8"/>
        <rFont val="Arial"/>
        <family val="0"/>
      </rPr>
      <t xml:space="preserve"> 460 660))</t>
    </r>
  </si>
  <si>
    <t>* marchandises non vendues</t>
  </si>
  <si>
    <t>* matières 1 et approv. non consommées</t>
  </si>
  <si>
    <t>- Le résultat représente environ 8% du CA et l'EBE 25%.</t>
  </si>
  <si>
    <t>- une comparaison avec l'exercice antérieur (44%) montre que</t>
  </si>
  <si>
    <t xml:space="preserve">  Bien qu'inférieur à N-1 : 9,35% (même hypothèse de capitaux propres)</t>
  </si>
  <si>
    <t xml:space="preserve"> Pour l'exercice N-1 : 9,5%, d'où un accroissement des DAP (notamment des </t>
  </si>
  <si>
    <t xml:space="preserve"> provisions sur actif circulant : clients…)</t>
  </si>
  <si>
    <t xml:space="preserve"> Pour l'exercice N-1 : le rapport Résultat sur CA était de 8,5%. Le calcul de l'</t>
  </si>
  <si>
    <t>- Sur 100 euros de valeur ajoutée: 11,5 Euros sont consacrés au maintien de</t>
  </si>
  <si>
    <t>LES SOLDES INTERMEDIAIRES DE GESTION (S.I.G.)</t>
  </si>
  <si>
    <t>- L'analyse de l'activité d'une entreprise repose, entre autres, sur l'étude de la formation de son résultat d'exercice.</t>
  </si>
  <si>
    <t xml:space="preserve">  Malgré la décomposition du compte de résultat en produits et charges d'exploitation, en opérations financières et exceptionnelles,</t>
  </si>
  <si>
    <t xml:space="preserve">  on ne saurait se contenter d'une simple comparaison de ces grandes masses.</t>
  </si>
  <si>
    <t xml:space="preserve">  Ceux-ci font apparaître les étapes de la formation du résultat.</t>
  </si>
  <si>
    <t xml:space="preserve">  entreprises d'un même secteur d'activité.</t>
  </si>
  <si>
    <t>OBJECTIFS</t>
  </si>
  <si>
    <t>METHODES</t>
  </si>
  <si>
    <t>- Ces soldes feront apparaître tour à tour :</t>
  </si>
  <si>
    <t xml:space="preserve">  . La marge commerciale</t>
  </si>
  <si>
    <t xml:space="preserve">  . La production</t>
  </si>
  <si>
    <t xml:space="preserve">  . La valeur ajoutée</t>
  </si>
  <si>
    <t xml:space="preserve">  . L'excédent brut d'exploitation</t>
  </si>
  <si>
    <t xml:space="preserve">  . Le résultat exceptionnel</t>
  </si>
  <si>
    <t>Ventes de marchandises  achetées en l'état (sociétés uniquement commerciales)</t>
  </si>
  <si>
    <t>Ventes de biens et services conçus par l'entreprise (sociétés industrielles)</t>
  </si>
  <si>
    <t>=</t>
  </si>
  <si>
    <r>
      <t xml:space="preserve">Résultat économique hors financement incorporant les amortissements/provisions </t>
    </r>
    <r>
      <rPr>
        <i/>
        <sz val="8"/>
        <rFont val="Arial"/>
        <family val="2"/>
      </rPr>
      <t xml:space="preserve">(càd </t>
    </r>
    <r>
      <rPr>
        <sz val="8"/>
        <rFont val="Symbol"/>
        <family val="1"/>
      </rPr>
      <t>S</t>
    </r>
    <r>
      <rPr>
        <i/>
        <sz val="8"/>
        <rFont val="Arial"/>
        <family val="2"/>
      </rPr>
      <t xml:space="preserve"> des produits - S des charges d'exploitation)</t>
    </r>
  </si>
  <si>
    <t>- Certains retraitements peuvent s'avérer indispensables :</t>
  </si>
  <si>
    <t xml:space="preserve">  . Le personnel extérieur</t>
  </si>
  <si>
    <t xml:space="preserve">  . Le recours au crédit bail</t>
  </si>
  <si>
    <t>incidence sur le résultat de l'exercice -</t>
  </si>
  <si>
    <r>
      <t xml:space="preserve">. Une dotation aux amortissements </t>
    </r>
    <r>
      <rPr>
        <i/>
        <sz val="8"/>
        <rFont val="Arial"/>
        <family val="2"/>
      </rPr>
      <t>(dont le calcul de l'annuité tient compte soustractivement de la valeur de reprise du bien en fin de contrat)</t>
    </r>
  </si>
  <si>
    <t xml:space="preserve">  est indispensable diminuant ainsi le résultat d'exploitation *.</t>
  </si>
  <si>
    <t xml:space="preserve">  . Le résultat d'exploitation *</t>
  </si>
  <si>
    <t>. Ce retraitement est sans incidence sur le résultat de l'exercice mais contribue à  augmenter la capacité d'autofinancement</t>
  </si>
  <si>
    <t>La comparaison entre une société finançant ses immobilisations par l'emprunt ou le crédit bail nécessite un ajustement</t>
  </si>
  <si>
    <t xml:space="preserve"> visant à supprimer la redevance annuelle (loyer annuel) : compte 6122.</t>
  </si>
  <si>
    <t>. Le loyer du crédit bail doit être retranché des consommations en provenance des tiers augmentant la valeur ajoutée.</t>
  </si>
  <si>
    <r>
      <t xml:space="preserve">  crédit bail  </t>
    </r>
    <r>
      <rPr>
        <i/>
        <sz val="8"/>
        <rFont val="Arial"/>
        <family val="2"/>
      </rPr>
      <t>(càd :  loyer - amortissement),</t>
    </r>
    <r>
      <rPr>
        <i/>
        <sz val="10"/>
        <rFont val="Arial"/>
        <family val="2"/>
      </rPr>
      <t xml:space="preserve"> diminuant ainsi le résultat courant (avant impôt).</t>
    </r>
  </si>
  <si>
    <r>
      <t xml:space="preserve">  du montant de la dotation aux amortissements </t>
    </r>
    <r>
      <rPr>
        <i/>
        <sz val="8"/>
        <rFont val="Arial"/>
        <family val="2"/>
      </rPr>
      <t>(voir chapitre suivant).</t>
    </r>
  </si>
  <si>
    <t>Part des créanciers financiers</t>
  </si>
  <si>
    <t>Part du personnel</t>
  </si>
  <si>
    <t>Part de l'Etat</t>
  </si>
  <si>
    <t>Part de l'entreprise</t>
  </si>
  <si>
    <t>* marchandises  vendues stock n-2</t>
  </si>
  <si>
    <t>(= 2 825 520 -(745 875+34 200*)</t>
  </si>
  <si>
    <t>(=845 320+844 999,28+27 189+163 050,82)</t>
  </si>
  <si>
    <t>(=985 030+813 182+28 620+171 632,44)</t>
  </si>
  <si>
    <t>(=(2 045 445,96+1 88 0559) - (264 400</t>
  </si>
  <si>
    <t>(=3 236 054,91+0- 41 800,40-(1 317 325,80</t>
  </si>
  <si>
    <t>+ 658 662,90))</t>
  </si>
  <si>
    <t>(=1 1218 265,81+9 500+0-305 481-34 331)</t>
  </si>
  <si>
    <t>(=887 953,81+ 91 367,20 - 131 126,24)</t>
  </si>
  <si>
    <t>(=74 248,13- 154 430,10)</t>
  </si>
  <si>
    <t>(=848 194,77-80 181,97)-97 696</t>
  </si>
  <si>
    <t>-310 965,20)</t>
  </si>
  <si>
    <r>
      <t>+12 000</t>
    </r>
    <r>
      <rPr>
        <i/>
        <sz val="8"/>
        <rFont val="Arial"/>
        <family val="2"/>
      </rPr>
      <t>+412 750,15))</t>
    </r>
  </si>
  <si>
    <t>Total :</t>
  </si>
  <si>
    <t>N=(1 412 816,34+706 408,17)/4 958 434,51</t>
  </si>
  <si>
    <t>N-1 =(1 317 315+658 662,90)/4 496 243,79</t>
  </si>
  <si>
    <t>N=370 232/4 741 463</t>
  </si>
  <si>
    <t>N-1=384 951,60/4 515 840,24</t>
  </si>
  <si>
    <t>N=1 174 915,93/4 741 463</t>
  </si>
  <si>
    <t>N-1=1 243 865,81/4 515 840,24</t>
  </si>
  <si>
    <t>Renseignements complémentaires:</t>
  </si>
  <si>
    <r>
      <t>N=370 232/4 115 000</t>
    </r>
    <r>
      <rPr>
        <b/>
        <i/>
        <sz val="8"/>
        <color indexed="10"/>
        <rFont val="Arial"/>
        <family val="2"/>
      </rPr>
      <t xml:space="preserve"> </t>
    </r>
  </si>
  <si>
    <t>N-1=384 951,60/4 115 000</t>
  </si>
  <si>
    <t xml:space="preserve"> EBE justifierait une remarque analogue.</t>
  </si>
  <si>
    <t>N=(84 000+130 000+109 400+62 100) / 3 338 558,44</t>
  </si>
  <si>
    <t>N-1=(78 642,15+131 412+46 069+49 357,85)</t>
  </si>
  <si>
    <t xml:space="preserve">        /3 261 654,91</t>
  </si>
  <si>
    <t>- Cette différence se justifie principalement par l'importance des dotations :</t>
  </si>
  <si>
    <t xml:space="preserve">  385 500.( ce qui peut être révélateur d'opérations  d'investissements).</t>
  </si>
  <si>
    <t>Dividendes prévus N</t>
  </si>
  <si>
    <t>Part des associés</t>
  </si>
  <si>
    <t>Dividendes distribués N-1</t>
  </si>
  <si>
    <t>- ces taux d'accroissement sont à apprécier par rapport au taux d'inflation (3%)</t>
  </si>
  <si>
    <t xml:space="preserve"> d'où une progression médiocre.</t>
  </si>
  <si>
    <t>- Les charges du personnel représente environ 43% des charges totales</t>
  </si>
  <si>
    <t xml:space="preserve"> l'entreprise. Il est influencé par l'endettement, les options fiscales (amortis.)</t>
  </si>
  <si>
    <r>
      <t>Ce</t>
    </r>
    <r>
      <rPr>
        <b/>
        <i/>
        <sz val="8"/>
        <rFont val="Arial"/>
        <family val="2"/>
      </rPr>
      <t xml:space="preserve"> taux de marge bénéficiaire</t>
    </r>
    <r>
      <rPr>
        <sz val="8"/>
        <rFont val="Arial"/>
        <family val="2"/>
      </rPr>
      <t xml:space="preserve"> exprime la performance économique de  </t>
    </r>
  </si>
  <si>
    <r>
      <t xml:space="preserve">Ce </t>
    </r>
    <r>
      <rPr>
        <b/>
        <i/>
        <sz val="8"/>
        <rFont val="Arial"/>
        <family val="2"/>
      </rPr>
      <t>taux de marge brute d'exploitation</t>
    </r>
    <r>
      <rPr>
        <sz val="8"/>
        <rFont val="Arial"/>
        <family val="2"/>
      </rPr>
      <t xml:space="preserve"> mesure le rapport entre le CA  et </t>
    </r>
  </si>
  <si>
    <t>Vente de marchandises</t>
  </si>
  <si>
    <t>N= 2 076 501/2 943 258</t>
  </si>
  <si>
    <t>N-1=2 045 445,96/2 825 520,90</t>
  </si>
  <si>
    <r>
      <t xml:space="preserve">Ce </t>
    </r>
    <r>
      <rPr>
        <b/>
        <i/>
        <sz val="8"/>
        <rFont val="Arial"/>
        <family val="2"/>
      </rPr>
      <t>taux de marge commerciale</t>
    </r>
    <r>
      <rPr>
        <sz val="8"/>
        <rFont val="Arial"/>
        <family val="2"/>
      </rPr>
      <t xml:space="preserve"> exprime la rentabilité d'une entreprise</t>
    </r>
  </si>
  <si>
    <t>commerciale.</t>
  </si>
  <si>
    <t>défaillante.</t>
  </si>
  <si>
    <t>Ce taux de marge confirme une politique d'achats de marchandises</t>
  </si>
  <si>
    <t>l'excédent  disponible après le paiement des achats, des charges externes et</t>
  </si>
  <si>
    <t>du personnel. Ce taux fait abstraction de la réglementation propre à un secteur,</t>
  </si>
  <si>
    <t>à un pays ou du mode de financement (capitaux propres ou étrangers).</t>
  </si>
  <si>
    <t xml:space="preserve">           EBE       </t>
  </si>
  <si>
    <t>Ce taux calcule la part de l'Ebe à partager entre les</t>
  </si>
  <si>
    <t>prêteurs, les associés, l'état (IS) et l'entreprise.</t>
  </si>
  <si>
    <t>N=1 174 915,93/3 338 558,44</t>
  </si>
  <si>
    <t>N-1=1 243 865,81/3 261 654,91</t>
  </si>
  <si>
    <t>Une analyse de cette répartition s'avère nécessaire. (voir page suivante)</t>
  </si>
  <si>
    <t>Cet indicateur désigne le résultat avant impôt et participation des salariés aux fruits de l'expansion. Il exclut les frais financiers et les dépréciations d'actif et amortissements : "Notre groupe va mieux que bien" J.M. Messier</t>
  </si>
  <si>
    <t>. L'Ebitda mesure la capacité à générer du cash en faisant abstraction des législations nationales, mondialisation oblige. Cet indicateur n'est pas certifié par les commissaires aux comptes.</t>
  </si>
  <si>
    <r>
      <t xml:space="preserve">- Valeurs comptables nettes d'éléments actif cédé </t>
    </r>
    <r>
      <rPr>
        <b/>
        <sz val="8"/>
        <rFont val="Arial"/>
        <family val="2"/>
      </rPr>
      <t>(675.)</t>
    </r>
  </si>
  <si>
    <r>
      <t>+ Produits de cessions éléments actif cédé</t>
    </r>
    <r>
      <rPr>
        <b/>
        <i/>
        <sz val="8"/>
        <rFont val="Arial"/>
        <family val="2"/>
      </rPr>
      <t xml:space="preserve"> (775.)</t>
    </r>
  </si>
  <si>
    <t>LA CAPACITE D'AUTOFINANCEMENT (CAF)</t>
  </si>
  <si>
    <t>- La capacité d'autofinancement représente les ressources de financement générées par l'activité de l'entreprise.</t>
  </si>
  <si>
    <t>- Ils sont destinés à mettre en évidence les causes de l'évolution du résultat et autorisent des comparaisons dans le temps ou par rapport aux</t>
  </si>
  <si>
    <t xml:space="preserve">Richesse créée après rémunération du personnel, paiement des impôts courants et taxes </t>
  </si>
  <si>
    <t xml:space="preserve">      c'est à dire  de sa capacité à engendrer un chiffre d'affaires suffisant pour couvrir les achats de marchandises et/ou les fournitures de matières 1ières,</t>
  </si>
  <si>
    <t xml:space="preserve">      les services extérieurs, les charges du personnel.</t>
  </si>
  <si>
    <t xml:space="preserve">  . les charges exceptionnelles.</t>
  </si>
  <si>
    <t xml:space="preserve">  . la participation éventuelle des salariés aux fruits de l'expansion.</t>
  </si>
  <si>
    <t xml:space="preserve">  . l'impôt sur les bénéfices.</t>
  </si>
  <si>
    <t>- Cette méthode est préconisée par le PCG.</t>
  </si>
  <si>
    <r>
      <t xml:space="preserve">  . les autres produits de gestion courante d'exploitation  : </t>
    </r>
    <r>
      <rPr>
        <sz val="8"/>
        <rFont val="Arial"/>
        <family val="2"/>
      </rPr>
      <t>redevances perçues sur les brevets, revenus d'immeubles non affectés aux activités professionnels…</t>
    </r>
  </si>
  <si>
    <r>
      <t xml:space="preserve">  . les charges financières : </t>
    </r>
    <r>
      <rPr>
        <sz val="8"/>
        <rFont val="Arial"/>
        <family val="2"/>
      </rPr>
      <t>les charges d'intérêts, les escomptes accordés, les pertes aux changes...</t>
    </r>
  </si>
  <si>
    <t xml:space="preserve">  . toutes les dotations aux amortissements et provisions (DAP).</t>
  </si>
  <si>
    <t xml:space="preserve">  . toutes les reprises sur amortissements et provisions (RAP).</t>
  </si>
  <si>
    <t xml:space="preserve">  . les valeurs comptables des éléments d'actifs cédés (VCEAC).</t>
  </si>
  <si>
    <t>Part de la CAF par rapport à la valeur ajoutée :</t>
  </si>
  <si>
    <t>Capacité d'endettement :</t>
  </si>
  <si>
    <t>3) Calculer les ratios d'activité, de profitabilité et de rentabilité. Déterminer la répartition de la valeur ajoutée entre les divers partenaires de l'entreprise.</t>
  </si>
  <si>
    <t>- Elle est déterminée avant la distribution des bénéfices.</t>
  </si>
  <si>
    <t xml:space="preserve">    exercice N-1</t>
  </si>
  <si>
    <t xml:space="preserve">    exercice N</t>
  </si>
  <si>
    <t>Part de la CAF par rapport à la valeur ajoutée</t>
  </si>
  <si>
    <t>VA</t>
  </si>
  <si>
    <t>Dettes financières</t>
  </si>
  <si>
    <t>Capacité d'endettement *</t>
  </si>
  <si>
    <t>*  Les banques imposent un ratio &lt;= 3</t>
  </si>
  <si>
    <t xml:space="preserve">  Rappelons que les banques imposent un ratio inférieur ou égal à 3.</t>
  </si>
  <si>
    <t xml:space="preserve"> Toujours est-il que la distribution de bénéfice est compromise.</t>
  </si>
  <si>
    <t xml:space="preserve"> (rappel : le somme des valeurs ajoutées d'une nation constitue le PIB : Produit Intérieur Brut)</t>
  </si>
  <si>
    <t xml:space="preserve">(ce solde est important car il est calculé indépendamment de la réglementation fiscale : amortissement linéaire ou dégressif, amortissements dérogatoires </t>
  </si>
  <si>
    <t xml:space="preserve">  . Le résultat courant (avant impôt)</t>
  </si>
  <si>
    <t>Augmentation de la valeur apportée par l'entreprise aux biens et services, déduction faite des consommations provenant de tiers</t>
  </si>
  <si>
    <t>ou provisions réglementées,...) ainsi que du mode de financement (recours aux capitaux propres ou étrangers).</t>
  </si>
  <si>
    <r>
      <t xml:space="preserve">Solde indépendant mesurant toutes les opérations non courantes </t>
    </r>
    <r>
      <rPr>
        <i/>
        <sz val="8"/>
        <rFont val="Arial"/>
        <family val="2"/>
      </rPr>
      <t>(cessions d'immobilisations…)</t>
    </r>
  </si>
  <si>
    <t>Résultat courant diminué de la participation et de l'impôt sur les bénéfices éventuels, +/- le résultat exceptionnel.</t>
  </si>
  <si>
    <t xml:space="preserve">. Une charges financière  nouvelle est alors à créer intégrant la part du loyer correspondant à l'intérêt du financement par </t>
  </si>
  <si>
    <r>
      <t xml:space="preserve">- La refonte du plan comptable en 1999 recommande le calcul normalisé des </t>
    </r>
    <r>
      <rPr>
        <b/>
        <sz val="10"/>
        <rFont val="Arial"/>
        <family val="2"/>
      </rPr>
      <t>soldes intermédiaires de gestion (SIG).</t>
    </r>
  </si>
  <si>
    <r>
      <t xml:space="preserve">Résultat d'exploitation avec incorporation des produits et charges financières </t>
    </r>
    <r>
      <rPr>
        <i/>
        <sz val="8"/>
        <rFont val="Arial"/>
        <family val="2"/>
      </rPr>
      <t>(càd intérêts des emprunts ou des placements…)</t>
    </r>
  </si>
  <si>
    <t xml:space="preserve">  . Le résultat de l'exercice</t>
  </si>
  <si>
    <t>L'intérim (compte 621) rend nécessaire le retranchement des sommes facturées des consommation en provenance des tiers</t>
  </si>
  <si>
    <r>
      <t xml:space="preserve">et leurs réintégrations dans les charges du personnel ( </t>
    </r>
    <r>
      <rPr>
        <i/>
        <sz val="8"/>
        <rFont val="Arial"/>
        <family val="2"/>
      </rPr>
      <t xml:space="preserve">càd  augmentation de la valeur ajoutée et diminution de l''EBE) - </t>
    </r>
    <r>
      <rPr>
        <i/>
        <sz val="10"/>
        <rFont val="Arial"/>
        <family val="2"/>
      </rPr>
      <t>sans</t>
    </r>
  </si>
  <si>
    <r>
      <t xml:space="preserve">    Le </t>
    </r>
    <r>
      <rPr>
        <i/>
        <sz val="10"/>
        <rFont val="Arial"/>
        <family val="2"/>
      </rPr>
      <t>bilan fonctionnel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(voir chapitre suivant)</t>
    </r>
    <r>
      <rPr>
        <sz val="10"/>
        <rFont val="Arial"/>
        <family val="0"/>
      </rPr>
      <t xml:space="preserve"> indique les dettes financières suivantes :</t>
    </r>
  </si>
  <si>
    <t>2) Etablir les soldes intermédiaires de gestion (SIG) pour les deux exercices.</t>
  </si>
  <si>
    <t xml:space="preserve">    Accompagner vos calculs de commentaires.</t>
  </si>
  <si>
    <r>
      <t xml:space="preserve">1) Déterminer la CAF pour l'exercice N et N-1, à partir de l'EBE </t>
    </r>
    <r>
      <rPr>
        <b/>
        <sz val="8"/>
        <rFont val="Arial"/>
        <family val="2"/>
      </rPr>
      <t>(vérifier vos calculs à partir du résultat)</t>
    </r>
  </si>
  <si>
    <t xml:space="preserve">(entreprises industrielles, artisans ou prestataires de services). </t>
  </si>
  <si>
    <t xml:space="preserve"> charges d'exploitation.</t>
  </si>
  <si>
    <t>La valeur ajoutée est l'expression de la richesse créée par l'entreprise.</t>
  </si>
  <si>
    <r>
      <t xml:space="preserve">Il en résulte un </t>
    </r>
    <r>
      <rPr>
        <b/>
        <sz val="8"/>
        <rFont val="Arial"/>
        <family val="2"/>
      </rPr>
      <t xml:space="preserve">sur stockage </t>
    </r>
    <r>
      <rPr>
        <sz val="8"/>
        <rFont val="Arial"/>
        <family val="2"/>
      </rPr>
      <t>de marchandises, matières 1 et autres approv</t>
    </r>
    <r>
      <rPr>
        <b/>
        <sz val="8"/>
        <rFont val="Arial"/>
        <family val="2"/>
      </rPr>
      <t>.</t>
    </r>
  </si>
  <si>
    <t>La part réservée aux partenaires de l'entreprise et à elle-même s'est réduite.</t>
  </si>
  <si>
    <t>La part des associés a légèrement diminuée.</t>
  </si>
  <si>
    <t>C'est surtout la part restant à l'entreprise qui connaît une perte sensible.</t>
  </si>
  <si>
    <t xml:space="preserve">  . la couverture de risques grâce aux dotations aux provisions.</t>
  </si>
  <si>
    <r>
      <t xml:space="preserve">    + les transferts de charges d'exploitation </t>
    </r>
    <r>
      <rPr>
        <sz val="8"/>
        <rFont val="Arial"/>
        <family val="2"/>
      </rPr>
      <t>(cas de filiales)</t>
    </r>
    <r>
      <rPr>
        <sz val="10"/>
        <rFont val="Arial"/>
        <family val="0"/>
      </rPr>
      <t>..</t>
    </r>
  </si>
  <si>
    <r>
      <t xml:space="preserve">  . les produits financières  : </t>
    </r>
    <r>
      <rPr>
        <sz val="8"/>
        <rFont val="Arial"/>
        <family val="2"/>
      </rPr>
      <t>les escomptes obtenus, les gains aux changes…</t>
    </r>
    <r>
      <rPr>
        <sz val="10"/>
        <rFont val="Arial"/>
        <family val="2"/>
      </rPr>
      <t xml:space="preserve">+ les transferts de charges financières </t>
    </r>
    <r>
      <rPr>
        <sz val="8"/>
        <rFont val="Arial"/>
        <family val="2"/>
      </rPr>
      <t>(cas de filiales)</t>
    </r>
    <r>
      <rPr>
        <sz val="10"/>
        <rFont val="Arial"/>
        <family val="2"/>
      </rPr>
      <t>.</t>
    </r>
  </si>
  <si>
    <r>
      <t xml:space="preserve">  . les produits exceptionnelles :</t>
    </r>
    <r>
      <rPr>
        <sz val="8"/>
        <rFont val="Arial"/>
        <family val="2"/>
      </rPr>
      <t>quote-part des subventions virée au résultat… +</t>
    </r>
    <r>
      <rPr>
        <sz val="10"/>
        <rFont val="Arial"/>
        <family val="2"/>
      </rPr>
      <t xml:space="preserve"> les transferts de charges exceptionnelles</t>
    </r>
    <r>
      <rPr>
        <sz val="8"/>
        <rFont val="Arial"/>
        <family val="2"/>
      </rPr>
      <t xml:space="preserve"> (cas de filiales).</t>
    </r>
  </si>
  <si>
    <r>
      <t xml:space="preserve">  . les autres charges de gestion courantes d'exploitation  : </t>
    </r>
    <r>
      <rPr>
        <sz val="8"/>
        <rFont val="Arial"/>
        <family val="2"/>
      </rPr>
      <t>redevances dues sur les brevets, pertes sur créances irrécouvrables,…</t>
    </r>
  </si>
  <si>
    <r>
      <t xml:space="preserve"> Toutefois, une vérification </t>
    </r>
    <r>
      <rPr>
        <b/>
        <i/>
        <sz val="10"/>
        <rFont val="Arial"/>
        <family val="2"/>
      </rPr>
      <t>à partir du résultat de l'exercice</t>
    </r>
    <r>
      <rPr>
        <sz val="10"/>
        <rFont val="Arial"/>
        <family val="0"/>
      </rPr>
      <t xml:space="preserve"> prenant en compte les éléments </t>
    </r>
    <r>
      <rPr>
        <b/>
        <sz val="10"/>
        <rFont val="Arial"/>
        <family val="2"/>
      </rPr>
      <t>calculés</t>
    </r>
    <r>
      <rPr>
        <sz val="10"/>
        <rFont val="Arial"/>
        <family val="0"/>
      </rPr>
      <t xml:space="preserve"> est recommandée  </t>
    </r>
    <r>
      <rPr>
        <i/>
        <sz val="8"/>
        <rFont val="Arial"/>
        <family val="2"/>
      </rPr>
      <t>(voir plus haut).</t>
    </r>
    <r>
      <rPr>
        <sz val="10"/>
        <rFont val="Arial"/>
        <family val="0"/>
      </rPr>
      <t xml:space="preserve"> </t>
    </r>
  </si>
  <si>
    <t xml:space="preserve">  Si la société désire investir, elle devra d'abord résorber ses dettes financières auprès des organismes bancaires pour obtenir de nouveaux emprunts.</t>
  </si>
  <si>
    <t xml:space="preserve">  A moins qu'elle ne sollicite une augmentation de capital (voir chapitre concerné).</t>
  </si>
  <si>
    <t>-  Si la valeur ajoutée de la société VIVIANE s'est accrue  de</t>
  </si>
  <si>
    <t>(1)</t>
  </si>
  <si>
    <t>(1)  3 338 558,44 (Va n) - 3 261 654, 91 (va n-1)</t>
  </si>
  <si>
    <t xml:space="preserve">, l'accroissement de la richesse créée n'augmente pas la part  laissée </t>
  </si>
  <si>
    <t>.</t>
  </si>
  <si>
    <t>2) Calculer par des ratios, la part de la CAF par rapport à la valeur ajoutée ainsi que la capacité d'endettement. Commenter vos résultats..</t>
  </si>
  <si>
    <t>(663 969,93 / 3 338 558,44)</t>
  </si>
  <si>
    <t>(735 555,01 / 3 261 654,91)</t>
  </si>
  <si>
    <t>(1 985 000 / 663 969,93)</t>
  </si>
  <si>
    <t>(2 050 0000 / 735 555,01)</t>
  </si>
  <si>
    <r>
      <t xml:space="preserve">   ( rappelons, par ailleurs, que la part laissée à l'entreprise a elle aussi diminué</t>
    </r>
    <r>
      <rPr>
        <b/>
        <i/>
        <sz val="8"/>
        <color indexed="10"/>
        <rFont val="Arial"/>
        <family val="2"/>
      </rPr>
      <t xml:space="preserve"> (voir feuille "RATIOSSIG</t>
    </r>
    <r>
      <rPr>
        <b/>
        <i/>
        <sz val="10"/>
        <color indexed="10"/>
        <rFont val="Arial"/>
        <family val="2"/>
      </rPr>
      <t>) )</t>
    </r>
  </si>
  <si>
    <t>- L'endettement de la société VIVIANE est proche de 3.</t>
  </si>
  <si>
    <r>
      <t xml:space="preserve">COMPTE DE RESULTAT </t>
    </r>
    <r>
      <rPr>
        <b/>
        <i/>
        <sz val="8"/>
        <color indexed="12"/>
        <rFont val="Arial"/>
        <family val="2"/>
      </rPr>
      <t>(société VIVIANE)</t>
    </r>
  </si>
  <si>
    <t xml:space="preserve">  un sur stockage de marchandises et de matières premières  :</t>
  </si>
  <si>
    <t xml:space="preserve">   à la capacité d'autofinancement en pourcentages  :</t>
  </si>
  <si>
    <t xml:space="preserve">  L'explication résulte dans une diminution de l'Excédent Brut d'Exploitation (EBE) dû essentiellement à une politique d'achats non maîtrisée aboutissant à</t>
  </si>
  <si>
    <t>L'ANALYSES DE L'EVOLUTION DU RESULTAT</t>
  </si>
  <si>
    <t>Observations.</t>
  </si>
  <si>
    <t>- Cette analyse est trop sommaire. Ces enseignements ne montrent que les grandes tendances.</t>
  </si>
  <si>
    <t>ENONCE</t>
  </si>
  <si>
    <r>
      <t>La société VIVIANE vous fournit son compte de résultat?</t>
    </r>
  </si>
  <si>
    <t>1) Commenter brièvement l'évolution du résultat ( en vous référant aux trois niveaux proposés).</t>
  </si>
  <si>
    <t xml:space="preserve">- Une étude plus approfondie s'avére opportune pour mieux identifier les dysfonctionnement </t>
  </si>
  <si>
    <t xml:space="preserve">  et éventuellement suggérer des solutions !</t>
  </si>
  <si>
    <t>LES SOLDES INTERMEDIAIRES DE GESTION (exercice N)</t>
  </si>
  <si>
    <t>LES SOLDES INTERMEDIAIRES DE GESTION (exercice N-1)</t>
  </si>
  <si>
    <t>QUELQUES RATIOS</t>
  </si>
  <si>
    <t>LA REPARTITION DE LA VALEUR AJOUTEE</t>
  </si>
  <si>
    <r>
      <t xml:space="preserve">A partir du compte de résultat et des soldes intermédiaires de gestion résultant de la société VIVIANE. </t>
    </r>
  </si>
  <si>
    <t>LA CAPACITE D'AUTOFINANCEMENT (exercice N)</t>
  </si>
  <si>
    <t>LA CAPACITE D'AUTOFINANCEMENT (exercice N-1)</t>
  </si>
  <si>
    <t>QUELQUES RATIOS.</t>
  </si>
  <si>
    <t>LE COMPTE DE RESULTAT DIFFERENTIEL</t>
  </si>
  <si>
    <r>
      <t xml:space="preserve">- Certaines charges varient </t>
    </r>
    <r>
      <rPr>
        <i/>
        <sz val="10"/>
        <rFont val="Arial"/>
        <family val="2"/>
      </rPr>
      <t>en fonction du niveau d'activité</t>
    </r>
    <r>
      <rPr>
        <sz val="10"/>
        <rFont val="Arial"/>
        <family val="0"/>
      </rPr>
      <t xml:space="preserve"> :</t>
    </r>
  </si>
  <si>
    <r>
      <t xml:space="preserve">  Ce sont les </t>
    </r>
    <r>
      <rPr>
        <b/>
        <sz val="10"/>
        <rFont val="Arial"/>
        <family val="2"/>
      </rPr>
      <t>charges variables.</t>
    </r>
  </si>
  <si>
    <r>
      <t xml:space="preserve">  exemples : </t>
    </r>
    <r>
      <rPr>
        <i/>
        <sz val="10"/>
        <rFont val="Arial"/>
        <family val="2"/>
      </rPr>
      <t>la consommation de matières premières, les frais de livraison,…</t>
    </r>
  </si>
  <si>
    <t xml:space="preserve">y </t>
  </si>
  <si>
    <t>Charges variables</t>
  </si>
  <si>
    <t>y=ax+b</t>
  </si>
  <si>
    <t>(a : coefficient de variabilité)</t>
  </si>
  <si>
    <t xml:space="preserve"> x</t>
  </si>
  <si>
    <t>Chiffre d'affaires</t>
  </si>
  <si>
    <r>
      <t xml:space="preserve">- D'autres demeurent stables, elles sont </t>
    </r>
    <r>
      <rPr>
        <i/>
        <sz val="10"/>
        <rFont val="Arial"/>
        <family val="2"/>
      </rPr>
      <t>indépendantes du niveau d'activité</t>
    </r>
    <r>
      <rPr>
        <sz val="10"/>
        <rFont val="Arial"/>
        <family val="0"/>
      </rPr>
      <t xml:space="preserve"> :</t>
    </r>
  </si>
  <si>
    <r>
      <t xml:space="preserve">  </t>
    </r>
    <r>
      <rPr>
        <sz val="10"/>
        <rFont val="Arial"/>
        <family val="0"/>
      </rPr>
      <t>Ce sont les</t>
    </r>
    <r>
      <rPr>
        <b/>
        <sz val="10"/>
        <rFont val="Arial"/>
        <family val="2"/>
      </rPr>
      <t xml:space="preserve"> charges fixes.</t>
    </r>
  </si>
  <si>
    <r>
      <t xml:space="preserve"> </t>
    </r>
    <r>
      <rPr>
        <sz val="10"/>
        <rFont val="Arial"/>
        <family val="0"/>
      </rPr>
      <t xml:space="preserve"> exemples : </t>
    </r>
    <r>
      <rPr>
        <i/>
        <sz val="10"/>
        <rFont val="Arial"/>
        <family val="2"/>
      </rPr>
      <t>le loyer, les primes d'assurances, les dotations aux amortissements,...</t>
    </r>
  </si>
  <si>
    <t>Charges fixes</t>
  </si>
  <si>
    <t>cf</t>
  </si>
  <si>
    <t>y=cf</t>
  </si>
  <si>
    <r>
      <t xml:space="preserve">- certaines charges peuvent comporter des </t>
    </r>
    <r>
      <rPr>
        <i/>
        <sz val="10"/>
        <rFont val="Arial"/>
        <family val="2"/>
      </rPr>
      <t>parties fixes et variables</t>
    </r>
    <r>
      <rPr>
        <sz val="10"/>
        <rFont val="Arial"/>
        <family val="0"/>
      </rPr>
      <t xml:space="preserve"> qu'il convient de séparer :</t>
    </r>
  </si>
  <si>
    <r>
      <t xml:space="preserve">  Ce sont des </t>
    </r>
    <r>
      <rPr>
        <b/>
        <sz val="10"/>
        <rFont val="Arial"/>
        <family val="2"/>
      </rPr>
      <t>charges mixtes</t>
    </r>
    <r>
      <rPr>
        <sz val="10"/>
        <rFont val="Arial"/>
        <family val="0"/>
      </rPr>
      <t>.</t>
    </r>
  </si>
  <si>
    <r>
      <t xml:space="preserve">  exemples : </t>
    </r>
    <r>
      <rPr>
        <i/>
        <sz val="10"/>
        <rFont val="Arial"/>
        <family val="2"/>
      </rPr>
      <t>rémunération des commerciaux : forfait et commissions</t>
    </r>
  </si>
  <si>
    <t xml:space="preserve">                   frais de téléphone : abonnement et coûts des communications</t>
  </si>
  <si>
    <r>
      <t xml:space="preserve">- D'autres charges fixes peuvent augmenter </t>
    </r>
    <r>
      <rPr>
        <b/>
        <i/>
        <sz val="10"/>
        <rFont val="Arial"/>
        <family val="2"/>
      </rPr>
      <t>par paliers</t>
    </r>
    <r>
      <rPr>
        <i/>
        <sz val="10"/>
        <rFont val="Arial"/>
        <family val="2"/>
      </rPr>
      <t xml:space="preserve"> en fonction de changement de structure </t>
    </r>
    <r>
      <rPr>
        <sz val="10"/>
        <rFont val="Arial"/>
        <family val="0"/>
      </rPr>
      <t>:</t>
    </r>
  </si>
  <si>
    <r>
      <t xml:space="preserve">  exemples : </t>
    </r>
    <r>
      <rPr>
        <i/>
        <sz val="10"/>
        <rFont val="Arial"/>
        <family val="2"/>
      </rPr>
      <t xml:space="preserve">embauche supplémentaire de personnel, investissements nouveaux,... </t>
    </r>
  </si>
  <si>
    <r>
      <t>- L</t>
    </r>
    <r>
      <rPr>
        <b/>
        <sz val="10"/>
        <rFont val="Arial"/>
        <family val="2"/>
      </rPr>
      <t xml:space="preserve">e compte de résultat différentiel </t>
    </r>
    <r>
      <rPr>
        <sz val="10"/>
        <rFont val="Arial"/>
        <family val="0"/>
      </rPr>
      <t xml:space="preserve">encore appelé </t>
    </r>
    <r>
      <rPr>
        <i/>
        <sz val="10"/>
        <rFont val="Arial"/>
        <family val="2"/>
      </rPr>
      <t xml:space="preserve">tableau d'exploitation différentiel </t>
    </r>
    <r>
      <rPr>
        <sz val="10"/>
        <rFont val="Arial"/>
        <family val="0"/>
      </rPr>
      <t>repose sur la notion de différence :</t>
    </r>
  </si>
  <si>
    <t xml:space="preserve">  </t>
  </si>
  <si>
    <r>
      <t xml:space="preserve">  .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chiffre d'affaires - </t>
    </r>
    <r>
      <rPr>
        <i/>
        <sz val="10"/>
        <rFont val="Symbol"/>
        <family val="1"/>
      </rPr>
      <t>S</t>
    </r>
    <r>
      <rPr>
        <i/>
        <sz val="10"/>
        <rFont val="Arial"/>
        <family val="2"/>
      </rPr>
      <t xml:space="preserve"> des charges variables </t>
    </r>
    <r>
      <rPr>
        <b/>
        <i/>
        <sz val="10"/>
        <rFont val="Arial"/>
        <family val="2"/>
      </rPr>
      <t xml:space="preserve"> = </t>
    </r>
    <r>
      <rPr>
        <i/>
        <sz val="10"/>
        <rFont val="Arial"/>
        <family val="2"/>
      </rPr>
      <t>marge sur coût variable</t>
    </r>
  </si>
  <si>
    <t xml:space="preserve">     puis</t>
  </si>
  <si>
    <r>
      <t xml:space="preserve">  . marge sur coût variable -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des charges fixes = résultat d'exploitation</t>
    </r>
  </si>
  <si>
    <t>- La détermination d'un taux de marge sur coût variable (TMSCV) est alors possible :</t>
  </si>
  <si>
    <r>
      <t xml:space="preserve">  </t>
    </r>
    <r>
      <rPr>
        <b/>
        <i/>
        <u val="single"/>
        <sz val="10"/>
        <rFont val="Arial"/>
        <family val="2"/>
      </rPr>
      <t>Marge Sur Coût Variable (MSCV)</t>
    </r>
    <r>
      <rPr>
        <b/>
        <i/>
        <sz val="10"/>
        <rFont val="Arial"/>
        <family val="2"/>
      </rPr>
      <t xml:space="preserve"> </t>
    </r>
  </si>
  <si>
    <r>
      <t xml:space="preserve">= </t>
    </r>
    <r>
      <rPr>
        <b/>
        <i/>
        <sz val="10"/>
        <rFont val="Arial"/>
        <family val="2"/>
      </rPr>
      <t>Taux de Marge sur Coût Variable (TMCV)</t>
    </r>
  </si>
  <si>
    <t xml:space="preserve">         Chiffre d'Affaires (CA)</t>
  </si>
  <si>
    <r>
      <t xml:space="preserve">  Cette notion est importante pour le calcul du </t>
    </r>
    <r>
      <rPr>
        <i/>
        <sz val="10"/>
        <rFont val="Arial"/>
        <family val="2"/>
      </rPr>
      <t xml:space="preserve">seuil de rentabilité </t>
    </r>
    <r>
      <rPr>
        <i/>
        <sz val="8"/>
        <rFont val="Arial"/>
        <family val="2"/>
      </rPr>
      <t>(voir plus loin)</t>
    </r>
    <r>
      <rPr>
        <sz val="10"/>
        <rFont val="Arial"/>
        <family val="0"/>
      </rPr>
      <t xml:space="preserve"> </t>
    </r>
  </si>
  <si>
    <t>DEUX APPLICATIONS.</t>
  </si>
  <si>
    <r>
      <t xml:space="preserve">1) L'entreprise MERLIN est une </t>
    </r>
    <r>
      <rPr>
        <b/>
        <sz val="10"/>
        <rFont val="Arial"/>
        <family val="2"/>
      </rPr>
      <t>société commerciale</t>
    </r>
    <r>
      <rPr>
        <sz val="10"/>
        <rFont val="Arial"/>
        <family val="0"/>
      </rPr>
      <t>. Voici les renseignements dont vous disposez au 31/12/N :</t>
    </r>
  </si>
  <si>
    <t>Ventes de marchandises</t>
  </si>
  <si>
    <t>Stock initial de marchandises</t>
  </si>
  <si>
    <t>Stock final de marchandises</t>
  </si>
  <si>
    <t>RRR obtenus sur achats de marchandises</t>
  </si>
  <si>
    <t>RRR accordés sur vente de marchandises</t>
  </si>
  <si>
    <t>Charges variables d'approvisionnement</t>
  </si>
  <si>
    <t>Charges variables de distribution</t>
  </si>
  <si>
    <t>TRAVAIL A FAIRE</t>
  </si>
  <si>
    <r>
      <t xml:space="preserve">Etablir le compte de résultat différentiel et calculer le taux de marge sur coût variable </t>
    </r>
    <r>
      <rPr>
        <b/>
        <sz val="8"/>
        <rFont val="Arial"/>
        <family val="2"/>
      </rPr>
      <t>(Tmscv)</t>
    </r>
    <r>
      <rPr>
        <b/>
        <sz val="10"/>
        <rFont val="Arial"/>
        <family val="2"/>
      </rPr>
      <t xml:space="preserve"> .</t>
    </r>
  </si>
  <si>
    <r>
      <t xml:space="preserve">COMPTE DE RESULTAT DIFFERENTIEL </t>
    </r>
    <r>
      <rPr>
        <b/>
        <i/>
        <sz val="10"/>
        <rFont val="Arial"/>
        <family val="2"/>
      </rPr>
      <t>(corrigé)</t>
    </r>
  </si>
  <si>
    <t>(1 041 000 - 51 000)</t>
  </si>
  <si>
    <t xml:space="preserve">   Achats de marchandises</t>
  </si>
  <si>
    <t>( 555 000 - 31 800)</t>
  </si>
  <si>
    <t xml:space="preserve">  + Charges variables d'approvisionnement</t>
  </si>
  <si>
    <r>
      <t xml:space="preserve">= Coût d'achats des marchandises </t>
    </r>
    <r>
      <rPr>
        <b/>
        <i/>
        <u val="single"/>
        <sz val="10"/>
        <color indexed="12"/>
        <rFont val="Arial"/>
        <family val="2"/>
      </rPr>
      <t>achetées</t>
    </r>
  </si>
  <si>
    <t xml:space="preserve">  + Variation de stock (si- sf )</t>
  </si>
  <si>
    <t>(41 150 -24 250)</t>
  </si>
  <si>
    <r>
      <t xml:space="preserve">= Coût d'achats des marchandises </t>
    </r>
    <r>
      <rPr>
        <b/>
        <i/>
        <u val="single"/>
        <sz val="10"/>
        <color indexed="12"/>
        <rFont val="Arial"/>
        <family val="2"/>
      </rPr>
      <t>vendues</t>
    </r>
  </si>
  <si>
    <t xml:space="preserve">  + Charges variables de distribution</t>
  </si>
  <si>
    <r>
      <t>S</t>
    </r>
    <r>
      <rPr>
        <b/>
        <sz val="10"/>
        <color indexed="12"/>
        <rFont val="Arial"/>
        <family val="2"/>
      </rPr>
      <t xml:space="preserve">  des charges variables</t>
    </r>
  </si>
  <si>
    <t>MARGE SUR COUT VARIABLE</t>
  </si>
  <si>
    <t>(990 000 - 693 000)</t>
  </si>
  <si>
    <t xml:space="preserve">   - Charges fixes</t>
  </si>
  <si>
    <t>(Tmscv)</t>
  </si>
  <si>
    <r>
      <t xml:space="preserve">2) La société ARGOAT </t>
    </r>
    <r>
      <rPr>
        <i/>
        <sz val="10"/>
        <rFont val="Arial"/>
        <family val="2"/>
      </rPr>
      <t>(voir "CR par fonction)</t>
    </r>
    <r>
      <rPr>
        <sz val="10"/>
        <rFont val="Arial"/>
        <family val="0"/>
      </rPr>
      <t xml:space="preserve"> est une </t>
    </r>
    <r>
      <rPr>
        <b/>
        <sz val="10"/>
        <rFont val="Arial"/>
        <family val="2"/>
      </rPr>
      <t>société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industrielle.</t>
    </r>
    <r>
      <rPr>
        <sz val="10"/>
        <rFont val="Arial"/>
        <family val="0"/>
      </rPr>
      <t xml:space="preserve"> Elle vous fournit les renseignements suivants</t>
    </r>
  </si>
  <si>
    <t xml:space="preserve">    au 31/12/N.</t>
  </si>
  <si>
    <t>Achats de matières premières</t>
  </si>
  <si>
    <t>Location de magasin</t>
  </si>
  <si>
    <t>Stock initial de matières premières</t>
  </si>
  <si>
    <t>Stock final de matières premières</t>
  </si>
  <si>
    <t>Charges du personnel</t>
  </si>
  <si>
    <t>Stock initial de produits finis et encours</t>
  </si>
  <si>
    <t>Stock final de produits finis et encours</t>
  </si>
  <si>
    <t>Charges variables liées à la production</t>
  </si>
  <si>
    <t>Charges variables liées à la distribution</t>
  </si>
  <si>
    <t xml:space="preserve">  Achats de matières premières</t>
  </si>
  <si>
    <r>
      <t xml:space="preserve">  + Variations de stocks de matières premières </t>
    </r>
    <r>
      <rPr>
        <i/>
        <sz val="8"/>
        <rFont val="Arial"/>
        <family val="2"/>
      </rPr>
      <t>(150 500</t>
    </r>
    <r>
      <rPr>
        <i/>
        <vertAlign val="subscript"/>
        <sz val="8"/>
        <rFont val="Arial"/>
        <family val="2"/>
      </rPr>
      <t>(si)</t>
    </r>
    <r>
      <rPr>
        <i/>
        <sz val="8"/>
        <rFont val="Arial"/>
        <family val="2"/>
      </rPr>
      <t xml:space="preserve"> - 105 860 </t>
    </r>
    <r>
      <rPr>
        <i/>
        <vertAlign val="subscript"/>
        <sz val="8"/>
        <rFont val="Arial"/>
        <family val="2"/>
      </rPr>
      <t>(sf )</t>
    </r>
    <r>
      <rPr>
        <b/>
        <i/>
        <sz val="8"/>
        <rFont val="Arial"/>
        <family val="2"/>
      </rPr>
      <t>)</t>
    </r>
  </si>
  <si>
    <t>= Coût d'achat des matières premières</t>
  </si>
  <si>
    <t xml:space="preserve">  + Charges de production</t>
  </si>
  <si>
    <t>= Coût variable de production de l'exercice</t>
  </si>
  <si>
    <r>
      <t xml:space="preserve">   - Variation produits finis et encours </t>
    </r>
    <r>
      <rPr>
        <i/>
        <sz val="8"/>
        <rFont val="Arial"/>
        <family val="2"/>
      </rPr>
      <t>(SI -SF &lt; 0 d'où production non vendue (stockée))</t>
    </r>
  </si>
  <si>
    <r>
      <t xml:space="preserve">                                                                              (307 785</t>
    </r>
    <r>
      <rPr>
        <i/>
        <vertAlign val="subscript"/>
        <sz val="8"/>
        <rFont val="Arial"/>
        <family val="2"/>
      </rPr>
      <t>(sf )</t>
    </r>
    <r>
      <rPr>
        <i/>
        <sz val="8"/>
        <rFont val="Arial"/>
        <family val="2"/>
      </rPr>
      <t xml:space="preserve"> - 185 000 </t>
    </r>
    <r>
      <rPr>
        <i/>
        <vertAlign val="subscript"/>
        <sz val="8"/>
        <rFont val="Arial"/>
        <family val="2"/>
      </rPr>
      <t>(si)</t>
    </r>
    <r>
      <rPr>
        <i/>
        <sz val="8"/>
        <rFont val="Arial"/>
        <family val="2"/>
      </rPr>
      <t>)</t>
    </r>
  </si>
  <si>
    <t>= Coût variable des produits finis et encours vendus</t>
  </si>
  <si>
    <t xml:space="preserve">  - Dotations aux amortissements et provisions</t>
  </si>
  <si>
    <t>(tmscv)</t>
  </si>
  <si>
    <t xml:space="preserve">  - Charges de personnel</t>
  </si>
  <si>
    <t xml:space="preserve">  - Loyer</t>
  </si>
  <si>
    <t xml:space="preserve">LE SEUIL DE RENTABILITE </t>
  </si>
  <si>
    <r>
      <t xml:space="preserve">- Le </t>
    </r>
    <r>
      <rPr>
        <b/>
        <sz val="10"/>
        <rFont val="Arial"/>
        <family val="2"/>
      </rPr>
      <t>seuil de rentabilité</t>
    </r>
    <r>
      <rPr>
        <sz val="10"/>
        <rFont val="Arial"/>
        <family val="0"/>
      </rPr>
      <t xml:space="preserve"> encore appelé </t>
    </r>
    <r>
      <rPr>
        <b/>
        <i/>
        <sz val="10"/>
        <rFont val="Arial"/>
        <family val="2"/>
      </rPr>
      <t>point mort</t>
    </r>
    <r>
      <rPr>
        <sz val="10"/>
        <rFont val="Arial"/>
        <family val="0"/>
      </rPr>
      <t xml:space="preserve"> est le niveau minimum de chiffres d'affaires qu'il faut obtenir pour dégager des bénéfices.</t>
    </r>
  </si>
  <si>
    <r>
      <t xml:space="preserve">- Il est établi à partir du </t>
    </r>
    <r>
      <rPr>
        <b/>
        <i/>
        <sz val="10"/>
        <rFont val="Arial"/>
        <family val="2"/>
      </rPr>
      <t xml:space="preserve">compte de résultat différentiel </t>
    </r>
    <r>
      <rPr>
        <sz val="10"/>
        <rFont val="Arial"/>
        <family val="0"/>
      </rPr>
      <t>et de</t>
    </r>
    <r>
      <rPr>
        <b/>
        <sz val="10"/>
        <rFont val="Arial"/>
        <family val="2"/>
      </rPr>
      <t xml:space="preserve"> ses grandes masses :</t>
    </r>
  </si>
  <si>
    <t xml:space="preserve">  Chiffre d'affaires</t>
  </si>
  <si>
    <r>
      <t xml:space="preserve">-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des charges variables</t>
    </r>
  </si>
  <si>
    <t>= Marge sur coût variable</t>
  </si>
  <si>
    <r>
      <t xml:space="preserve">-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des charges fixes</t>
    </r>
  </si>
  <si>
    <t xml:space="preserve"> Résultat</t>
  </si>
  <si>
    <r>
      <t xml:space="preserve">- Sa </t>
    </r>
    <r>
      <rPr>
        <b/>
        <sz val="10"/>
        <rFont val="Arial"/>
        <family val="2"/>
      </rPr>
      <t>date d'obtention</t>
    </r>
    <r>
      <rPr>
        <sz val="10"/>
        <rFont val="Arial"/>
        <family val="0"/>
      </rPr>
      <t xml:space="preserve"> est le moment où le seuil de rentabilité sera atteint. </t>
    </r>
  </si>
  <si>
    <t xml:space="preserve">  Le calcul de cette date varie selon la régularité ou la saisonnalité de l'activité d'exploitation.</t>
  </si>
  <si>
    <r>
      <t>- Des</t>
    </r>
    <r>
      <rPr>
        <b/>
        <sz val="10"/>
        <rFont val="Arial"/>
        <family val="2"/>
      </rPr>
      <t xml:space="preserve"> outils d'analyses</t>
    </r>
    <r>
      <rPr>
        <sz val="10"/>
        <rFont val="Arial"/>
        <family val="0"/>
      </rPr>
      <t xml:space="preserve"> sont utilisés :</t>
    </r>
  </si>
  <si>
    <r>
      <t xml:space="preserve">. la </t>
    </r>
    <r>
      <rPr>
        <b/>
        <i/>
        <sz val="10"/>
        <rFont val="Arial"/>
        <family val="2"/>
      </rPr>
      <t>marge de sécurité</t>
    </r>
    <r>
      <rPr>
        <sz val="10"/>
        <rFont val="Arial"/>
        <family val="0"/>
      </rPr>
      <t xml:space="preserve"> représente la baisse du CA que l'entreprise pourrait supporter sans devenir déficitaire.</t>
    </r>
  </si>
  <si>
    <r>
      <t>. l'</t>
    </r>
    <r>
      <rPr>
        <b/>
        <i/>
        <sz val="10"/>
        <rFont val="Arial"/>
        <family val="2"/>
      </rPr>
      <t>indice de sécurité</t>
    </r>
    <r>
      <rPr>
        <sz val="10"/>
        <rFont val="Arial"/>
        <family val="0"/>
      </rPr>
      <t xml:space="preserve"> ou </t>
    </r>
    <r>
      <rPr>
        <b/>
        <i/>
        <sz val="10"/>
        <rFont val="Arial"/>
        <family val="2"/>
      </rPr>
      <t>de rentabilité</t>
    </r>
    <r>
      <rPr>
        <sz val="10"/>
        <rFont val="Arial"/>
        <family val="0"/>
      </rPr>
      <t xml:space="preserve"> est un outil similaire au précédent, il exprime la marge de sécurité en % du CA.</t>
    </r>
  </si>
  <si>
    <r>
      <t xml:space="preserve">. le </t>
    </r>
    <r>
      <rPr>
        <b/>
        <i/>
        <sz val="10"/>
        <rFont val="Arial"/>
        <family val="2"/>
      </rPr>
      <t>levier opérationnel</t>
    </r>
    <r>
      <rPr>
        <sz val="10"/>
        <rFont val="Arial"/>
        <family val="0"/>
      </rPr>
      <t xml:space="preserve"> indique le taux d'accroissement prévisionnel du résultat par rapport au taux de progression prévu par le CA.</t>
    </r>
  </si>
  <si>
    <t xml:space="preserve">  (cas d'investissement, de dé investissement ou de modification du marché)</t>
  </si>
  <si>
    <t>a) détermination du seuil de rentabilité.</t>
  </si>
  <si>
    <r>
      <t xml:space="preserve">   - A partir du compte de résultat différentiel</t>
    </r>
    <r>
      <rPr>
        <i/>
        <sz val="10"/>
        <rFont val="Arial"/>
        <family val="2"/>
      </rPr>
      <t xml:space="preserve"> (voir plus haut</t>
    </r>
    <r>
      <rPr>
        <sz val="10"/>
        <rFont val="Arial"/>
        <family val="0"/>
      </rPr>
      <t>), il est possible de mettre en évidence les égalités suivantes :</t>
    </r>
  </si>
  <si>
    <t xml:space="preserve">     Nommons </t>
  </si>
  <si>
    <t>CA</t>
  </si>
  <si>
    <t>le chiffre d'affaires</t>
  </si>
  <si>
    <t>MSCV</t>
  </si>
  <si>
    <t>la marge sur coût variable</t>
  </si>
  <si>
    <t>TMSCV</t>
  </si>
  <si>
    <t>le taux de marge sur coût variable</t>
  </si>
  <si>
    <t>CF</t>
  </si>
  <si>
    <t>le total des charges fixes</t>
  </si>
  <si>
    <t>R</t>
  </si>
  <si>
    <t>le résultat</t>
  </si>
  <si>
    <t>SR</t>
  </si>
  <si>
    <t>le seuil de rentabilité</t>
  </si>
  <si>
    <t xml:space="preserve">    Si le seuil de rentabilité est le CA pour lequel le résultat est nul, cela correspond à l'équation suivante :</t>
  </si>
  <si>
    <t xml:space="preserve">   R = 0 quand</t>
  </si>
  <si>
    <t>MSCV - CF = 0</t>
  </si>
  <si>
    <t>ou</t>
  </si>
  <si>
    <t>MSCV = CF</t>
  </si>
  <si>
    <t>or</t>
  </si>
  <si>
    <t>MSCV = CA * TMSCV</t>
  </si>
  <si>
    <t>d'où</t>
  </si>
  <si>
    <t>CA  * TMSCV = CF</t>
  </si>
  <si>
    <t xml:space="preserve">   On en déduit :</t>
  </si>
  <si>
    <t>CA =</t>
  </si>
  <si>
    <t>c'est à dire</t>
  </si>
  <si>
    <r>
      <t xml:space="preserve">     SR         </t>
    </r>
    <r>
      <rPr>
        <b/>
        <vertAlign val="subscript"/>
        <sz val="10"/>
        <rFont val="Arial"/>
        <family val="2"/>
      </rPr>
      <t>=</t>
    </r>
  </si>
  <si>
    <t>b) Date d'obtention.</t>
  </si>
  <si>
    <t xml:space="preserve">   - Activité régulière.</t>
  </si>
  <si>
    <r>
      <t xml:space="preserve">        </t>
    </r>
    <r>
      <rPr>
        <b/>
        <u val="single"/>
        <sz val="10"/>
        <rFont val="Arial"/>
        <family val="2"/>
      </rPr>
      <t>SR</t>
    </r>
    <r>
      <rPr>
        <b/>
        <sz val="10"/>
        <rFont val="Arial"/>
        <family val="2"/>
      </rPr>
      <t xml:space="preserve">  </t>
    </r>
    <r>
      <rPr>
        <b/>
        <vertAlign val="subscript"/>
        <sz val="10"/>
        <rFont val="Arial"/>
        <family val="2"/>
      </rPr>
      <t xml:space="preserve">* </t>
    </r>
    <r>
      <rPr>
        <b/>
        <sz val="10"/>
        <rFont val="Arial"/>
        <family val="2"/>
      </rPr>
      <t>360     =</t>
    </r>
  </si>
  <si>
    <t xml:space="preserve"> nombre de jours</t>
  </si>
  <si>
    <t xml:space="preserve">         CA </t>
  </si>
  <si>
    <t xml:space="preserve">  - Activité irrégulière.</t>
  </si>
  <si>
    <t xml:space="preserve">   Il convient de cumuler tout d'abord les chiffres d'affaires mensuels prévus afin de déterminer le mois</t>
  </si>
  <si>
    <t xml:space="preserve">   d'obtention. La date sera ensuite obtenue de la façon suivante :</t>
  </si>
  <si>
    <r>
      <t xml:space="preserve"> </t>
    </r>
    <r>
      <rPr>
        <b/>
        <u val="single"/>
        <sz val="10"/>
        <rFont val="Arial"/>
        <family val="2"/>
      </rPr>
      <t>SR - CA cumulé</t>
    </r>
    <r>
      <rPr>
        <b/>
        <i/>
        <u val="single"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(mois précèdent)</t>
    </r>
  </si>
  <si>
    <r>
      <t xml:space="preserve">Ca cumulé </t>
    </r>
    <r>
      <rPr>
        <i/>
        <sz val="8"/>
        <rFont val="Arial"/>
        <family val="2"/>
      </rPr>
      <t>(mois suivant</t>
    </r>
    <r>
      <rPr>
        <sz val="10"/>
        <rFont val="Arial"/>
        <family val="0"/>
      </rPr>
      <t>)</t>
    </r>
    <r>
      <rPr>
        <b/>
        <sz val="10"/>
        <rFont val="Arial"/>
        <family val="2"/>
      </rPr>
      <t xml:space="preserve"> - CA cumulé </t>
    </r>
    <r>
      <rPr>
        <i/>
        <sz val="8"/>
        <rFont val="Arial"/>
        <family val="2"/>
      </rPr>
      <t>(mois précédent</t>
    </r>
    <r>
      <rPr>
        <sz val="10"/>
        <rFont val="Arial"/>
        <family val="0"/>
      </rPr>
      <t>)</t>
    </r>
  </si>
  <si>
    <t>c) Marge de sécurité et indice de sécurité.</t>
  </si>
  <si>
    <t>CA - SR</t>
  </si>
  <si>
    <t xml:space="preserve">  - Marge de sécurité</t>
  </si>
  <si>
    <t xml:space="preserve">  - Indice de sécurité ou de rentabilité</t>
  </si>
  <si>
    <t xml:space="preserve">Marge de sécurité </t>
  </si>
  <si>
    <t>D) Levier opérationnel.</t>
  </si>
  <si>
    <t xml:space="preserve">   Il montre l'évolution du résultat par rapport au CA d'un exercice à l'autre.</t>
  </si>
  <si>
    <r>
      <t>D</t>
    </r>
    <r>
      <rPr>
        <b/>
        <u val="single"/>
        <sz val="10"/>
        <rFont val="Arial"/>
        <family val="2"/>
      </rPr>
      <t xml:space="preserve"> R</t>
    </r>
  </si>
  <si>
    <t xml:space="preserve">   Il autorise des prévisions.</t>
  </si>
  <si>
    <r>
      <t>D</t>
    </r>
    <r>
      <rPr>
        <b/>
        <u val="single"/>
        <sz val="10"/>
        <rFont val="Arial"/>
        <family val="2"/>
      </rPr>
      <t xml:space="preserve"> CA</t>
    </r>
  </si>
  <si>
    <t>APPLICATION 1</t>
  </si>
  <si>
    <r>
      <t>Reprenons le compte de résultat de la société MERLIN (voir feuille "</t>
    </r>
    <r>
      <rPr>
        <i/>
        <sz val="10"/>
        <rFont val="Arial"/>
        <family val="2"/>
      </rPr>
      <t>CR différentiel</t>
    </r>
    <r>
      <rPr>
        <sz val="10"/>
        <rFont val="Arial"/>
        <family val="0"/>
      </rPr>
      <t>") :</t>
    </r>
  </si>
  <si>
    <t>1) Déterminer le seuil de rentabilité.</t>
  </si>
  <si>
    <t>2) Sa date d'obtention compte tenu d'une activité irrégulière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</si>
  <si>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</si>
  <si>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</si>
  <si>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</si>
  <si>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</si>
  <si>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</si>
  <si>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</si>
  <si>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</si>
  <si>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</si>
  <si>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</si>
  <si>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</si>
  <si>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</si>
  <si>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</si>
  <si>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3) calculer la marge de sécurité et l'indice de rentabilité.</t>
  </si>
  <si>
    <t>Total</t>
  </si>
  <si>
    <r>
      <t xml:space="preserve">4) Déterminer et commentez brièvement le levier opérationnel compte tenu des prévisions suivantes </t>
    </r>
    <r>
      <rPr>
        <b/>
        <sz val="8"/>
        <rFont val="Arial"/>
        <family val="2"/>
      </rPr>
      <t>(Le taux de marge sur coût variable demeurant inchangé)</t>
    </r>
    <r>
      <rPr>
        <b/>
        <sz val="10"/>
        <rFont val="Arial"/>
        <family val="2"/>
      </rPr>
      <t xml:space="preserve"> :</t>
    </r>
  </si>
  <si>
    <t xml:space="preserve">   Augmentation du CA prévu</t>
  </si>
  <si>
    <t xml:space="preserve">   Embauche d'un Directeur des ventes dont le contrat de travail prévoit :</t>
  </si>
  <si>
    <t>un fixe mensuel de</t>
  </si>
  <si>
    <t>(12 mois)</t>
  </si>
  <si>
    <t>CORRIGE</t>
  </si>
  <si>
    <r>
      <t xml:space="preserve">1) </t>
    </r>
    <r>
      <rPr>
        <b/>
        <u val="single"/>
        <sz val="10"/>
        <rFont val="Arial"/>
        <family val="2"/>
      </rPr>
      <t>Seuil de rentabilité</t>
    </r>
    <r>
      <rPr>
        <b/>
        <sz val="10"/>
        <rFont val="Arial"/>
        <family val="2"/>
      </rPr>
      <t>.</t>
    </r>
  </si>
  <si>
    <t>141 000 (cf) / 30% (tmscv)</t>
  </si>
  <si>
    <r>
      <t xml:space="preserve">2) </t>
    </r>
    <r>
      <rPr>
        <b/>
        <i/>
        <u val="single"/>
        <sz val="10"/>
        <rFont val="Arial"/>
        <family val="2"/>
      </rPr>
      <t>Date d'obtention</t>
    </r>
    <r>
      <rPr>
        <b/>
        <u val="single"/>
        <sz val="10"/>
        <rFont val="Arial"/>
        <family val="2"/>
      </rPr>
      <t>.</t>
    </r>
  </si>
  <si>
    <t>Mois</t>
  </si>
  <si>
    <t>CA mensuel</t>
  </si>
  <si>
    <t>CA cumulé</t>
  </si>
  <si>
    <t>= (470 000 - 464 000) / (476 500 - 464 000)</t>
  </si>
  <si>
    <t>Soit environ le</t>
  </si>
  <si>
    <t>15 mai N</t>
  </si>
  <si>
    <r>
      <t xml:space="preserve">3a) </t>
    </r>
    <r>
      <rPr>
        <b/>
        <u val="single"/>
        <sz val="10"/>
        <rFont val="Arial"/>
        <family val="2"/>
      </rPr>
      <t>Marge de sécurité</t>
    </r>
  </si>
  <si>
    <t>990 000 (ca) - 470 000 (sr)</t>
  </si>
  <si>
    <r>
      <t xml:space="preserve">3b) </t>
    </r>
    <r>
      <rPr>
        <b/>
        <u val="single"/>
        <sz val="10"/>
        <rFont val="Arial"/>
        <family val="2"/>
      </rPr>
      <t>Indice de sécurité</t>
    </r>
  </si>
  <si>
    <t>520 000 (ms) / 990 000 (ca)</t>
  </si>
  <si>
    <r>
      <t xml:space="preserve">4) </t>
    </r>
    <r>
      <rPr>
        <b/>
        <u val="single"/>
        <sz val="10"/>
        <rFont val="Arial"/>
        <family val="2"/>
      </rPr>
      <t>Levier opérationnel</t>
    </r>
    <r>
      <rPr>
        <b/>
        <sz val="10"/>
        <rFont val="Arial"/>
        <family val="2"/>
      </rPr>
      <t>.</t>
    </r>
  </si>
  <si>
    <t>Modification du CA</t>
  </si>
  <si>
    <t>990 000 x (1+ 0,40)</t>
  </si>
  <si>
    <t>Modification marge sur coûts variabless</t>
  </si>
  <si>
    <t>1 386 500 * 30%</t>
  </si>
  <si>
    <t>Modification des charges fixes</t>
  </si>
  <si>
    <t>141 000 + (2 000 *12)</t>
  </si>
  <si>
    <t>Résultat attendu :</t>
  </si>
  <si>
    <t>Levier opérationnel</t>
  </si>
  <si>
    <t>commentaires :</t>
  </si>
  <si>
    <t>Le résultat progresse 1,52 fois plus vite que la CA : bravo !!!</t>
  </si>
  <si>
    <t>APPLICATION 2</t>
  </si>
  <si>
    <r>
      <t>La société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Armor</t>
    </r>
    <r>
      <rPr>
        <sz val="10"/>
        <rFont val="Arial"/>
        <family val="0"/>
      </rPr>
      <t xml:space="preserve"> est  confrontée à une concurrence de plus en plus sévère.</t>
    </r>
  </si>
  <si>
    <r>
      <t>Le brevet dont elle disposait concernant son produit phare "</t>
    </r>
    <r>
      <rPr>
        <b/>
        <sz val="10"/>
        <rFont val="Arial"/>
        <family val="2"/>
      </rPr>
      <t>Karreg ar tan</t>
    </r>
    <r>
      <rPr>
        <sz val="10"/>
        <rFont val="Arial"/>
        <family val="0"/>
      </rPr>
      <t>" vient à expiration.</t>
    </r>
  </si>
  <si>
    <t>Aussi les prix diminuent bien que la demande ne cesse d'augmenter.</t>
  </si>
  <si>
    <t>Une étude prévisionnelle relative à ce produit dermatologique est conduite pour l'exercice à venir :</t>
  </si>
  <si>
    <t>CA prévu</t>
  </si>
  <si>
    <t>dont charges variables (1)</t>
  </si>
  <si>
    <t xml:space="preserve">            dont charges fixes (2)</t>
  </si>
  <si>
    <t>de charges du personnel</t>
  </si>
  <si>
    <t>(2)</t>
  </si>
  <si>
    <t>Questions</t>
  </si>
  <si>
    <t>1)</t>
  </si>
  <si>
    <t>Présentez le compte de résultat différentiel prévu.</t>
  </si>
  <si>
    <t>2)</t>
  </si>
  <si>
    <r>
      <t xml:space="preserve">Déterminez le seuil de rentabilité et sa date d'obtention </t>
    </r>
    <r>
      <rPr>
        <sz val="8"/>
        <rFont val="Arial"/>
        <family val="2"/>
      </rPr>
      <t>(répartition uniforme des ventes dans le temps)</t>
    </r>
    <r>
      <rPr>
        <sz val="10"/>
        <rFont val="Arial"/>
        <family val="0"/>
      </rPr>
      <t>.</t>
    </r>
  </si>
  <si>
    <t>3)</t>
  </si>
  <si>
    <t>Des renseignements complémentaires viennent d'être apportés.</t>
  </si>
  <si>
    <r>
      <t xml:space="preserve">- Le service </t>
    </r>
    <r>
      <rPr>
        <i/>
        <sz val="10"/>
        <rFont val="Arial"/>
        <family val="2"/>
      </rPr>
      <t xml:space="preserve">commercial </t>
    </r>
    <r>
      <rPr>
        <sz val="10"/>
        <rFont val="Arial"/>
        <family val="0"/>
      </rPr>
      <t>estime que le prix de vente unitaire devrait chuter de</t>
    </r>
  </si>
  <si>
    <t xml:space="preserve">, afin de </t>
  </si>
  <si>
    <t xml:space="preserve">  faire face à une concurrence de plus en plus vive.</t>
  </si>
  <si>
    <t xml:space="preserve">  Cependant, compte tenu d'une demande de plus en plus forte et de cette baisse des prix, l'élasticité des ventes en volume</t>
  </si>
  <si>
    <t xml:space="preserve">  par rapport au prix devrait être pour l'exercice  de</t>
  </si>
  <si>
    <r>
      <t xml:space="preserve">- Le service du </t>
    </r>
    <r>
      <rPr>
        <i/>
        <sz val="10"/>
        <rFont val="Arial"/>
        <family val="2"/>
      </rPr>
      <t>personnel</t>
    </r>
    <r>
      <rPr>
        <sz val="10"/>
        <rFont val="Arial"/>
        <family val="0"/>
      </rPr>
      <t xml:space="preserve"> doit, par ailleurs, faire face à des pressions salariales; aussi une augmentation des rémunérations</t>
    </r>
  </si>
  <si>
    <t xml:space="preserve"> est prévue; elle se solderait par augmentation du taux horaire moyen de l'ensemble des salaires de</t>
  </si>
  <si>
    <t>Evaluez les incidences de ces facteurs nouveaux sur le chiffre d'affaires et le résultats attendus.</t>
  </si>
  <si>
    <t>4)</t>
  </si>
  <si>
    <t>Commentez brièvement.</t>
  </si>
  <si>
    <t>Compte de résultat prévisionnelle.</t>
  </si>
  <si>
    <t>Montant</t>
  </si>
  <si>
    <t xml:space="preserve">Coût variable des </t>
  </si>
  <si>
    <t>produits vendus</t>
  </si>
  <si>
    <t>Marge/Coût variable</t>
  </si>
  <si>
    <t>Seuil de rentabilité et date d'obtention.</t>
  </si>
  <si>
    <t>Seuil de rentabilité :</t>
  </si>
  <si>
    <t>= 270 000 (cf) / 16% (tmscv)</t>
  </si>
  <si>
    <t>Date d'obtention :</t>
  </si>
  <si>
    <r>
      <t>jours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soit =[1 687 500 (sr) / 2 200 000 (ca)] * 360</t>
    </r>
  </si>
  <si>
    <t>càd :</t>
  </si>
  <si>
    <t>7/10/N</t>
  </si>
  <si>
    <r>
      <t>soit ( 276,14 /30) =</t>
    </r>
    <r>
      <rPr>
        <i/>
        <u val="single"/>
        <sz val="8"/>
        <color indexed="10"/>
        <rFont val="Arial"/>
        <family val="2"/>
      </rPr>
      <t>après 9 mois</t>
    </r>
    <r>
      <rPr>
        <i/>
        <sz val="8"/>
        <color indexed="10"/>
        <rFont val="Arial"/>
        <family val="2"/>
      </rPr>
      <t xml:space="preserve"> </t>
    </r>
    <r>
      <rPr>
        <i/>
        <u val="single"/>
        <sz val="8"/>
        <color indexed="10"/>
        <rFont val="Arial"/>
        <family val="2"/>
      </rPr>
      <t>et</t>
    </r>
    <r>
      <rPr>
        <i/>
        <sz val="8"/>
        <color indexed="10"/>
        <rFont val="Arial"/>
        <family val="2"/>
      </rPr>
      <t xml:space="preserve"> 0,2045...*30 = </t>
    </r>
    <r>
      <rPr>
        <i/>
        <u val="single"/>
        <sz val="8"/>
        <color indexed="10"/>
        <rFont val="Arial"/>
        <family val="2"/>
      </rPr>
      <t>6,10 jours</t>
    </r>
  </si>
  <si>
    <t>Chiffre d'affaire et résultat attendus.</t>
  </si>
  <si>
    <t>CA attendu.</t>
  </si>
  <si>
    <r>
      <t xml:space="preserve">Une élasticité des ventes en volume par rapport au prix </t>
    </r>
    <r>
      <rPr>
        <b/>
        <sz val="10"/>
        <rFont val="Arial"/>
        <family val="2"/>
      </rPr>
      <t>(e)</t>
    </r>
    <r>
      <rPr>
        <sz val="10"/>
        <rFont val="Arial"/>
        <family val="0"/>
      </rPr>
      <t xml:space="preserve"> de </t>
    </r>
    <r>
      <rPr>
        <b/>
        <sz val="10"/>
        <rFont val="Arial"/>
        <family val="2"/>
      </rPr>
      <t>-3</t>
    </r>
    <r>
      <rPr>
        <sz val="10"/>
        <rFont val="Arial"/>
        <family val="0"/>
      </rPr>
      <t xml:space="preserve"> signifie que la baisse prévue  de </t>
    </r>
    <r>
      <rPr>
        <b/>
        <sz val="10"/>
        <rFont val="Arial"/>
        <family val="2"/>
      </rPr>
      <t>- 10 %</t>
    </r>
    <r>
      <rPr>
        <sz val="10"/>
        <rFont val="Arial"/>
        <family val="0"/>
      </rPr>
      <t xml:space="preserve"> du prix de vente entraîne  une</t>
    </r>
  </si>
  <si>
    <r>
      <t xml:space="preserve">augmentation de  </t>
    </r>
    <r>
      <rPr>
        <sz val="10"/>
        <color indexed="10"/>
        <rFont val="Arial"/>
        <family val="2"/>
      </rPr>
      <t>+</t>
    </r>
    <r>
      <rPr>
        <b/>
        <sz val="10"/>
        <color indexed="10"/>
        <rFont val="Arial"/>
        <family val="2"/>
      </rPr>
      <t xml:space="preserve"> 30%</t>
    </r>
    <r>
      <rPr>
        <sz val="10"/>
        <rFont val="Arial"/>
        <family val="0"/>
      </rPr>
      <t xml:space="preserve"> des quantités vendues :</t>
    </r>
  </si>
  <si>
    <t xml:space="preserve">    d'où </t>
  </si>
  <si>
    <t>Il en résulte donc :</t>
  </si>
  <si>
    <r>
      <t>CA' = P' * Q' = P * (1-10%) * Q * (1+30%)</t>
    </r>
    <r>
      <rPr>
        <sz val="8"/>
        <color indexed="10"/>
        <rFont val="Arial"/>
        <family val="2"/>
      </rPr>
      <t xml:space="preserve">; </t>
    </r>
    <r>
      <rPr>
        <b/>
        <i/>
        <sz val="8"/>
        <color indexed="10"/>
        <rFont val="Arial"/>
        <family val="2"/>
      </rPr>
      <t>d'où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CA' = 2 200 000 * (1- 0,10) * '(1 + 0,30)</t>
    </r>
  </si>
  <si>
    <t>soit, CA attendu :</t>
  </si>
  <si>
    <t>Résultat attendu.</t>
  </si>
  <si>
    <t xml:space="preserve">Chiffre d'affaires attendu </t>
  </si>
  <si>
    <t>Coût variable</t>
  </si>
  <si>
    <r>
      <t>Charges du personnel</t>
    </r>
    <r>
      <rPr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(1)</t>
    </r>
  </si>
  <si>
    <r>
      <t xml:space="preserve">Autres charges variables </t>
    </r>
    <r>
      <rPr>
        <b/>
        <i/>
        <sz val="10"/>
        <color indexed="10"/>
        <rFont val="Arial"/>
        <family val="2"/>
      </rPr>
      <t>(2)</t>
    </r>
  </si>
  <si>
    <t>∑ Charges variables</t>
  </si>
  <si>
    <t>Marge sur coût variable</t>
  </si>
  <si>
    <r>
      <t xml:space="preserve">Charges du personnel </t>
    </r>
    <r>
      <rPr>
        <b/>
        <i/>
        <sz val="10"/>
        <color indexed="10"/>
        <rFont val="Arial"/>
        <family val="2"/>
      </rPr>
      <t>(3)</t>
    </r>
  </si>
  <si>
    <r>
      <t xml:space="preserve">Autres charges variables </t>
    </r>
    <r>
      <rPr>
        <b/>
        <i/>
        <sz val="10"/>
        <color indexed="10"/>
        <rFont val="Arial"/>
        <family val="2"/>
      </rPr>
      <t>(4)</t>
    </r>
  </si>
  <si>
    <t>∑ Charges fixes</t>
  </si>
  <si>
    <r>
      <t xml:space="preserve">Soit résultat attendu </t>
    </r>
    <r>
      <rPr>
        <b/>
        <sz val="10"/>
        <color indexed="10"/>
        <rFont val="Arial"/>
        <family val="2"/>
      </rPr>
      <t>(5)</t>
    </r>
  </si>
  <si>
    <r>
      <t>(1)</t>
    </r>
    <r>
      <rPr>
        <i/>
        <sz val="10"/>
        <color indexed="10"/>
        <rFont val="Arial"/>
        <family val="2"/>
      </rPr>
      <t xml:space="preserve"> = 1 848 000</t>
    </r>
    <r>
      <rPr>
        <i/>
        <sz val="8"/>
        <color indexed="10"/>
        <rFont val="Arial"/>
        <family val="2"/>
      </rPr>
      <t xml:space="preserve"> (</t>
    </r>
    <r>
      <rPr>
        <sz val="8"/>
        <color indexed="10"/>
        <rFont val="Arial"/>
        <family val="2"/>
      </rPr>
      <t>∑</t>
    </r>
    <r>
      <rPr>
        <i/>
        <sz val="8"/>
        <color indexed="10"/>
        <rFont val="Arial"/>
        <family val="2"/>
      </rPr>
      <t xml:space="preserve"> CV)</t>
    </r>
    <r>
      <rPr>
        <i/>
        <sz val="10"/>
        <color indexed="10"/>
        <rFont val="Arial"/>
        <family val="2"/>
      </rPr>
      <t xml:space="preserve"> * 8% </t>
    </r>
    <r>
      <rPr>
        <i/>
        <sz val="8"/>
        <color indexed="10"/>
        <rFont val="Arial"/>
        <family val="2"/>
      </rPr>
      <t>(part Ch. du personnel)</t>
    </r>
    <r>
      <rPr>
        <i/>
        <sz val="10"/>
        <color indexed="10"/>
        <rFont val="Arial"/>
        <family val="2"/>
      </rPr>
      <t xml:space="preserve"> * 1,30 </t>
    </r>
    <r>
      <rPr>
        <i/>
        <sz val="8"/>
        <color indexed="10"/>
        <rFont val="Arial"/>
        <family val="2"/>
      </rPr>
      <t>(</t>
    </r>
    <r>
      <rPr>
        <i/>
        <sz val="8"/>
        <color indexed="10"/>
        <rFont val="Symbol"/>
        <family val="1"/>
      </rPr>
      <t>D</t>
    </r>
    <r>
      <rPr>
        <i/>
        <sz val="8"/>
        <color indexed="10"/>
        <rFont val="Arial"/>
        <family val="2"/>
      </rPr>
      <t xml:space="preserve"> des ventes)</t>
    </r>
    <r>
      <rPr>
        <i/>
        <sz val="10"/>
        <color indexed="10"/>
        <rFont val="Arial"/>
        <family val="2"/>
      </rPr>
      <t xml:space="preserve"> * 1,05 </t>
    </r>
    <r>
      <rPr>
        <i/>
        <sz val="8"/>
        <color indexed="10"/>
        <rFont val="Arial"/>
        <family val="2"/>
      </rPr>
      <t>(</t>
    </r>
    <r>
      <rPr>
        <i/>
        <sz val="8"/>
        <color indexed="10"/>
        <rFont val="Symbol"/>
        <family val="1"/>
      </rPr>
      <t>D</t>
    </r>
    <r>
      <rPr>
        <i/>
        <sz val="8"/>
        <color indexed="10"/>
        <rFont val="Arial"/>
        <family val="2"/>
      </rPr>
      <t xml:space="preserve"> taux horaire rémunération du personnel)</t>
    </r>
  </si>
  <si>
    <r>
      <t>(2)</t>
    </r>
    <r>
      <rPr>
        <i/>
        <sz val="10"/>
        <color indexed="10"/>
        <rFont val="Arial"/>
        <family val="2"/>
      </rPr>
      <t xml:space="preserve"> =1 848 0000 * (1 - 8% ) * 1,30</t>
    </r>
  </si>
  <si>
    <r>
      <t>(3)</t>
    </r>
    <r>
      <rPr>
        <i/>
        <sz val="10"/>
        <color indexed="10"/>
        <rFont val="Arial"/>
        <family val="2"/>
      </rPr>
      <t xml:space="preserve"> = 42 000 </t>
    </r>
    <r>
      <rPr>
        <i/>
        <sz val="8"/>
        <color indexed="10"/>
        <rFont val="Arial"/>
        <family val="2"/>
      </rPr>
      <t>(CF personnel)</t>
    </r>
    <r>
      <rPr>
        <i/>
        <sz val="10"/>
        <color indexed="10"/>
        <rFont val="Arial"/>
        <family val="2"/>
      </rPr>
      <t xml:space="preserve"> * (1+ 5%)</t>
    </r>
  </si>
  <si>
    <r>
      <t>(4)</t>
    </r>
    <r>
      <rPr>
        <i/>
        <sz val="10"/>
        <color indexed="10"/>
        <rFont val="Arial"/>
        <family val="2"/>
      </rPr>
      <t xml:space="preserve"> = 270 000</t>
    </r>
    <r>
      <rPr>
        <i/>
        <sz val="8"/>
        <color indexed="10"/>
        <rFont val="Arial"/>
        <family val="2"/>
      </rPr>
      <t xml:space="preserve"> ( ∑ CF) </t>
    </r>
    <r>
      <rPr>
        <i/>
        <sz val="10"/>
        <color indexed="10"/>
        <rFont val="Arial"/>
        <family val="2"/>
      </rPr>
      <t xml:space="preserve">- 42 000 </t>
    </r>
    <r>
      <rPr>
        <i/>
        <sz val="8"/>
        <color indexed="10"/>
        <rFont val="Arial"/>
        <family val="2"/>
      </rPr>
      <t>(part CF du personnel)</t>
    </r>
  </si>
  <si>
    <r>
      <t>(5)</t>
    </r>
    <r>
      <rPr>
        <i/>
        <sz val="10"/>
        <color indexed="10"/>
        <rFont val="Arial"/>
        <family val="2"/>
      </rPr>
      <t xml:space="preserve"> = 2 574 000 (CA) - 2  412 009,60 ( ∑ CV) - 272 100 (∑ CF)</t>
    </r>
  </si>
  <si>
    <t>Commentaires</t>
  </si>
  <si>
    <r>
      <t>- Si, sous la pression de la concurrence, l'entreprise devait baisser son prix de vente de 10%; la production du produit "</t>
    </r>
    <r>
      <rPr>
        <i/>
        <sz val="10"/>
        <rFont val="Arial"/>
        <family val="2"/>
      </rPr>
      <t>Karreg ar tan</t>
    </r>
    <r>
      <rPr>
        <sz val="10"/>
        <rFont val="Arial"/>
        <family val="0"/>
      </rPr>
      <t>" deviendrait</t>
    </r>
  </si>
  <si>
    <t xml:space="preserve">  fortement déficitaire :</t>
  </si>
  <si>
    <t xml:space="preserve">  Malgré une progression du CA par rapport aux premières estimations de  :</t>
  </si>
  <si>
    <t>=(2 574 000-2 200 000)/2 200 000</t>
  </si>
  <si>
    <t xml:space="preserve">  La cause essentielle est une forte diminution  du taux de marge sur coûts variables qui passe de</t>
  </si>
  <si>
    <t>à</t>
  </si>
  <si>
    <r>
      <t>- Diverses solutions s'offrent alors au(x) responsable(s) de la société</t>
    </r>
    <r>
      <rPr>
        <i/>
        <sz val="10"/>
        <rFont val="Arial"/>
        <family val="2"/>
      </rPr>
      <t xml:space="preserve"> TO2005</t>
    </r>
    <r>
      <rPr>
        <sz val="10"/>
        <rFont val="Arial"/>
        <family val="0"/>
      </rPr>
      <t xml:space="preserve"> :</t>
    </r>
  </si>
  <si>
    <t xml:space="preserve">  1)refuser la hausse des salaires mais l'économie réalisée serait modeste :</t>
  </si>
  <si>
    <t>=201 801,6+44 100-(1 848 000*8%*(1-30%)-42 000)</t>
  </si>
  <si>
    <t xml:space="preserve">  2)rechercher des gains de productivité par l'amélioration de son appareil productif ou une réorganisation.</t>
  </si>
  <si>
    <t xml:space="preserve">  3)intégrer la fabrication de composantes du produit</t>
  </si>
  <si>
    <r>
      <t xml:space="preserve">  4)délocaliser la production</t>
    </r>
    <r>
      <rPr>
        <i/>
        <sz val="10"/>
        <rFont val="Arial"/>
        <family val="2"/>
      </rPr>
      <t xml:space="preserve"> (solution impossible : la qualité des algues bretonnes n'a pas d'équivalent !!!!).</t>
    </r>
  </si>
  <si>
    <t>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</si>
</sst>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#,##0&quot; €&quot;"/>
    <numFmt numFmtId="174" formatCode="_-* #,##0.00&quot; €&quot;_-;\-* #,##0.00&quot; €&quot;_-;_-* \-??&quot; €&quot;_-;_-@_-"/>
  </numFmts>
  <fonts count="1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i/>
      <sz val="8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u val="single"/>
      <vertAlign val="subscript"/>
      <sz val="8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16"/>
      <name val="Arial"/>
      <family val="2"/>
    </font>
    <font>
      <b/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color indexed="16"/>
      <name val="Arial"/>
      <family val="2"/>
    </font>
    <font>
      <sz val="8"/>
      <color indexed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8"/>
      <name val="Symbol"/>
      <family val="1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u val="single"/>
      <sz val="10"/>
      <color indexed="10"/>
      <name val="Symbol"/>
      <family val="1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0"/>
    </font>
    <font>
      <b/>
      <i/>
      <sz val="8"/>
      <color indexed="8"/>
      <name val="Arial"/>
      <family val="0"/>
    </font>
    <font>
      <sz val="9.2"/>
      <color indexed="8"/>
      <name val="Arial"/>
      <family val="0"/>
    </font>
    <font>
      <b/>
      <sz val="18"/>
      <name val="Arial"/>
      <family val="2"/>
    </font>
    <font>
      <b/>
      <i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20"/>
      <color indexed="56"/>
      <name val="Arial"/>
      <family val="2"/>
    </font>
    <font>
      <b/>
      <i/>
      <sz val="12"/>
      <color indexed="56"/>
      <name val="Arial"/>
      <family val="2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48"/>
      <name val="Arial"/>
      <family val="2"/>
    </font>
    <font>
      <i/>
      <sz val="10"/>
      <name val="Symbol"/>
      <family val="1"/>
    </font>
    <font>
      <sz val="10"/>
      <name val="Symbol"/>
      <family val="1"/>
    </font>
    <font>
      <b/>
      <sz val="14"/>
      <color indexed="48"/>
      <name val="Arial"/>
      <family val="2"/>
    </font>
    <font>
      <b/>
      <sz val="10"/>
      <color indexed="12"/>
      <name val="Symbol"/>
      <family val="1"/>
    </font>
    <font>
      <i/>
      <vertAlign val="subscript"/>
      <sz val="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b/>
      <u val="single"/>
      <sz val="10"/>
      <name val="Symbol"/>
      <family val="1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color indexed="10"/>
      <name val="Arial"/>
      <family val="2"/>
    </font>
    <font>
      <i/>
      <u val="single"/>
      <sz val="8"/>
      <color indexed="10"/>
      <name val="Arial"/>
      <family val="2"/>
    </font>
    <font>
      <sz val="12"/>
      <name val="Arial"/>
      <family val="2"/>
    </font>
    <font>
      <u val="single"/>
      <sz val="10"/>
      <name val="Symbol"/>
      <family val="1"/>
    </font>
    <font>
      <i/>
      <sz val="8"/>
      <color indexed="10"/>
      <name val="Symbol"/>
      <family val="1"/>
    </font>
    <font>
      <b/>
      <sz val="12"/>
      <color indexed="8"/>
      <name val="Arial"/>
      <family val="0"/>
    </font>
    <font>
      <sz val="10"/>
      <color indexed="8"/>
      <name val="Symbol"/>
      <family val="0"/>
    </font>
    <font>
      <u val="single"/>
      <sz val="10"/>
      <color indexed="8"/>
      <name val="Symbol"/>
      <family val="0"/>
    </font>
    <font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0.39998000860214233"/>
      <name val="Arial"/>
      <family val="2"/>
    </font>
    <font>
      <b/>
      <sz val="14"/>
      <color theme="3" tint="0.39998000860214233"/>
      <name val="Arial"/>
      <family val="2"/>
    </font>
    <font>
      <b/>
      <sz val="20"/>
      <color theme="3" tint="0.39998000860214233"/>
      <name val="Arial"/>
      <family val="2"/>
    </font>
    <font>
      <b/>
      <i/>
      <sz val="12"/>
      <color theme="3" tint="0.39998000860214233"/>
      <name val="Arial"/>
      <family val="2"/>
    </font>
    <font>
      <b/>
      <sz val="16"/>
      <color theme="3" tint="0.39998000860214233"/>
      <name val="Arial"/>
      <family val="2"/>
    </font>
    <font>
      <b/>
      <sz val="16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0" borderId="2" applyNumberFormat="0" applyFill="0" applyAlignment="0" applyProtection="0"/>
    <xf numFmtId="0" fontId="0" fillId="27" borderId="3" applyNumberFormat="0" applyFont="0" applyAlignment="0" applyProtection="0"/>
    <xf numFmtId="0" fontId="102" fillId="28" borderId="1" applyNumberFormat="0" applyAlignment="0" applyProtection="0"/>
    <xf numFmtId="174" fontId="0" fillId="0" borderId="0" applyFill="0" applyBorder="0" applyAlignment="0" applyProtection="0"/>
    <xf numFmtId="0" fontId="10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30" borderId="0" applyNumberFormat="0" applyBorder="0" applyAlignment="0" applyProtection="0"/>
    <xf numFmtId="9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26" borderId="4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8" applyNumberFormat="0" applyFill="0" applyAlignment="0" applyProtection="0"/>
    <xf numFmtId="0" fontId="113" fillId="32" borderId="9" applyNumberFormat="0" applyAlignment="0" applyProtection="0"/>
  </cellStyleXfs>
  <cellXfs count="4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8" fillId="0" borderId="10" xfId="0" applyFont="1" applyBorder="1" applyAlignment="1" quotePrefix="1">
      <alignment/>
    </xf>
    <xf numFmtId="0" fontId="6" fillId="0" borderId="12" xfId="0" applyFont="1" applyBorder="1" applyAlignment="1" quotePrefix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/>
    </xf>
    <xf numFmtId="4" fontId="12" fillId="0" borderId="27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3" fillId="0" borderId="0" xfId="0" applyFont="1" applyAlignment="1">
      <alignment/>
    </xf>
    <xf numFmtId="0" fontId="14" fillId="0" borderId="15" xfId="0" applyFont="1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 quotePrefix="1">
      <alignment/>
    </xf>
    <xf numFmtId="0" fontId="0" fillId="0" borderId="28" xfId="0" applyBorder="1" applyAlignment="1" quotePrefix="1">
      <alignment/>
    </xf>
    <xf numFmtId="0" fontId="0" fillId="0" borderId="29" xfId="0" applyBorder="1" applyAlignment="1">
      <alignment/>
    </xf>
    <xf numFmtId="0" fontId="14" fillId="0" borderId="28" xfId="0" applyFont="1" applyBorder="1" applyAlignment="1">
      <alignment/>
    </xf>
    <xf numFmtId="10" fontId="0" fillId="0" borderId="0" xfId="51" applyNumberFormat="1" applyFont="1" applyAlignment="1">
      <alignment/>
    </xf>
    <xf numFmtId="10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10" fontId="11" fillId="0" borderId="34" xfId="0" applyNumberFormat="1" applyFont="1" applyBorder="1" applyAlignment="1">
      <alignment/>
    </xf>
    <xf numFmtId="10" fontId="11" fillId="0" borderId="35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10" fontId="12" fillId="0" borderId="40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45" xfId="0" applyFont="1" applyFill="1" applyBorder="1" applyAlignment="1">
      <alignment horizontal="left"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2" fillId="0" borderId="28" xfId="0" applyFont="1" applyFill="1" applyBorder="1" applyAlignment="1" quotePrefix="1">
      <alignment horizontal="left"/>
    </xf>
    <xf numFmtId="0" fontId="20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22" fillId="0" borderId="28" xfId="0" applyFont="1" applyFill="1" applyBorder="1" applyAlignment="1">
      <alignment horizontal="left"/>
    </xf>
    <xf numFmtId="4" fontId="23" fillId="0" borderId="0" xfId="0" applyNumberFormat="1" applyFont="1" applyBorder="1" applyAlignment="1">
      <alignment/>
    </xf>
    <xf numFmtId="4" fontId="23" fillId="0" borderId="48" xfId="0" applyNumberFormat="1" applyFont="1" applyBorder="1" applyAlignment="1">
      <alignment/>
    </xf>
    <xf numFmtId="0" fontId="23" fillId="0" borderId="28" xfId="0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20" fillId="0" borderId="29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26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6" fillId="0" borderId="30" xfId="0" applyFont="1" applyBorder="1" applyAlignment="1">
      <alignment/>
    </xf>
    <xf numFmtId="0" fontId="26" fillId="33" borderId="49" xfId="0" applyFont="1" applyFill="1" applyBorder="1" applyAlignment="1">
      <alignment horizontal="center"/>
    </xf>
    <xf numFmtId="4" fontId="26" fillId="33" borderId="50" xfId="0" applyNumberFormat="1" applyFont="1" applyFill="1" applyBorder="1" applyAlignment="1">
      <alignment horizontal="center"/>
    </xf>
    <xf numFmtId="4" fontId="26" fillId="33" borderId="51" xfId="0" applyNumberFormat="1" applyFont="1" applyFill="1" applyBorder="1" applyAlignment="1">
      <alignment horizontal="center"/>
    </xf>
    <xf numFmtId="0" fontId="26" fillId="34" borderId="50" xfId="0" applyFont="1" applyFill="1" applyBorder="1" applyAlignment="1">
      <alignment horizontal="center"/>
    </xf>
    <xf numFmtId="4" fontId="26" fillId="34" borderId="50" xfId="0" applyNumberFormat="1" applyFont="1" applyFill="1" applyBorder="1" applyAlignment="1">
      <alignment horizontal="center"/>
    </xf>
    <xf numFmtId="4" fontId="26" fillId="34" borderId="52" xfId="0" applyNumberFormat="1" applyFont="1" applyFill="1" applyBorder="1" applyAlignment="1">
      <alignment horizontal="center"/>
    </xf>
    <xf numFmtId="0" fontId="27" fillId="0" borderId="53" xfId="0" applyFont="1" applyBorder="1" applyAlignment="1">
      <alignment/>
    </xf>
    <xf numFmtId="4" fontId="28" fillId="0" borderId="10" xfId="0" applyNumberFormat="1" applyFont="1" applyBorder="1" applyAlignment="1">
      <alignment/>
    </xf>
    <xf numFmtId="4" fontId="28" fillId="0" borderId="14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8" fillId="0" borderId="11" xfId="0" applyNumberFormat="1" applyFont="1" applyBorder="1" applyAlignment="1">
      <alignment/>
    </xf>
    <xf numFmtId="4" fontId="28" fillId="0" borderId="54" xfId="0" applyNumberFormat="1" applyFont="1" applyBorder="1" applyAlignment="1">
      <alignment/>
    </xf>
    <xf numFmtId="0" fontId="28" fillId="0" borderId="53" xfId="0" applyFont="1" applyBorder="1" applyAlignment="1">
      <alignment/>
    </xf>
    <xf numFmtId="4" fontId="28" fillId="0" borderId="16" xfId="0" applyNumberFormat="1" applyFont="1" applyBorder="1" applyAlignment="1">
      <alignment/>
    </xf>
    <xf numFmtId="0" fontId="28" fillId="0" borderId="0" xfId="0" applyFont="1" applyBorder="1" applyAlignment="1">
      <alignment/>
    </xf>
    <xf numFmtId="4" fontId="28" fillId="0" borderId="55" xfId="0" applyNumberFormat="1" applyFont="1" applyBorder="1" applyAlignment="1">
      <alignment/>
    </xf>
    <xf numFmtId="0" fontId="29" fillId="0" borderId="0" xfId="0" applyFont="1" applyBorder="1" applyAlignment="1">
      <alignment horizontal="right"/>
    </xf>
    <xf numFmtId="4" fontId="30" fillId="0" borderId="10" xfId="0" applyNumberFormat="1" applyFont="1" applyBorder="1" applyAlignment="1">
      <alignment/>
    </xf>
    <xf numFmtId="4" fontId="30" fillId="0" borderId="55" xfId="0" applyNumberFormat="1" applyFont="1" applyBorder="1" applyAlignment="1">
      <alignment/>
    </xf>
    <xf numFmtId="0" fontId="30" fillId="0" borderId="56" xfId="0" applyFont="1" applyBorder="1" applyAlignment="1">
      <alignment horizontal="right"/>
    </xf>
    <xf numFmtId="4" fontId="30" fillId="0" borderId="57" xfId="0" applyNumberFormat="1" applyFont="1" applyBorder="1" applyAlignment="1">
      <alignment/>
    </xf>
    <xf numFmtId="4" fontId="30" fillId="0" borderId="58" xfId="0" applyNumberFormat="1" applyFont="1" applyBorder="1" applyAlignment="1">
      <alignment/>
    </xf>
    <xf numFmtId="0" fontId="30" fillId="0" borderId="59" xfId="0" applyFont="1" applyBorder="1" applyAlignment="1">
      <alignment horizontal="right"/>
    </xf>
    <xf numFmtId="4" fontId="30" fillId="0" borderId="60" xfId="0" applyNumberFormat="1" applyFont="1" applyBorder="1" applyAlignment="1">
      <alignment/>
    </xf>
    <xf numFmtId="0" fontId="27" fillId="0" borderId="59" xfId="0" applyFont="1" applyBorder="1" applyAlignment="1">
      <alignment/>
    </xf>
    <xf numFmtId="4" fontId="28" fillId="0" borderId="57" xfId="0" applyNumberFormat="1" applyFont="1" applyBorder="1" applyAlignment="1">
      <alignment/>
    </xf>
    <xf numFmtId="0" fontId="27" fillId="0" borderId="56" xfId="0" applyFont="1" applyBorder="1" applyAlignment="1">
      <alignment/>
    </xf>
    <xf numFmtId="4" fontId="28" fillId="0" borderId="58" xfId="0" applyNumberFormat="1" applyFont="1" applyBorder="1" applyAlignment="1">
      <alignment/>
    </xf>
    <xf numFmtId="0" fontId="30" fillId="0" borderId="53" xfId="0" applyFont="1" applyBorder="1" applyAlignment="1">
      <alignment horizontal="right"/>
    </xf>
    <xf numFmtId="4" fontId="30" fillId="0" borderId="16" xfId="0" applyNumberFormat="1" applyFont="1" applyBorder="1" applyAlignment="1">
      <alignment/>
    </xf>
    <xf numFmtId="0" fontId="30" fillId="0" borderId="0" xfId="0" applyFont="1" applyBorder="1" applyAlignment="1">
      <alignment horizontal="right"/>
    </xf>
    <xf numFmtId="0" fontId="29" fillId="0" borderId="53" xfId="0" applyFont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55" xfId="0" applyNumberFormat="1" applyFont="1" applyBorder="1" applyAlignment="1">
      <alignment/>
    </xf>
    <xf numFmtId="0" fontId="32" fillId="33" borderId="61" xfId="0" applyFont="1" applyFill="1" applyBorder="1" applyAlignment="1">
      <alignment horizontal="center"/>
    </xf>
    <xf numFmtId="4" fontId="32" fillId="33" borderId="62" xfId="0" applyNumberFormat="1" applyFont="1" applyFill="1" applyBorder="1" applyAlignment="1">
      <alignment/>
    </xf>
    <xf numFmtId="4" fontId="32" fillId="33" borderId="63" xfId="0" applyNumberFormat="1" applyFont="1" applyFill="1" applyBorder="1" applyAlignment="1">
      <alignment/>
    </xf>
    <xf numFmtId="0" fontId="32" fillId="34" borderId="64" xfId="0" applyFont="1" applyFill="1" applyBorder="1" applyAlignment="1">
      <alignment horizontal="center"/>
    </xf>
    <xf numFmtId="4" fontId="32" fillId="34" borderId="62" xfId="0" applyNumberFormat="1" applyFont="1" applyFill="1" applyBorder="1" applyAlignment="1">
      <alignment/>
    </xf>
    <xf numFmtId="4" fontId="32" fillId="34" borderId="65" xfId="0" applyNumberFormat="1" applyFont="1" applyFill="1" applyBorder="1" applyAlignment="1">
      <alignment/>
    </xf>
    <xf numFmtId="0" fontId="8" fillId="0" borderId="10" xfId="0" applyFont="1" applyBorder="1" applyAlignment="1" quotePrefix="1">
      <alignment/>
    </xf>
    <xf numFmtId="9" fontId="9" fillId="0" borderId="16" xfId="0" applyNumberFormat="1" applyFont="1" applyBorder="1" applyAlignment="1">
      <alignment/>
    </xf>
    <xf numFmtId="10" fontId="9" fillId="0" borderId="18" xfId="0" applyNumberFormat="1" applyFont="1" applyBorder="1" applyAlignment="1">
      <alignment/>
    </xf>
    <xf numFmtId="10" fontId="9" fillId="0" borderId="16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35" fillId="35" borderId="0" xfId="0" applyFont="1" applyFill="1" applyAlignment="1">
      <alignment/>
    </xf>
    <xf numFmtId="0" fontId="0" fillId="0" borderId="0" xfId="0" applyAlignment="1" quotePrefix="1">
      <alignment horizontal="center"/>
    </xf>
    <xf numFmtId="0" fontId="13" fillId="0" borderId="0" xfId="0" applyFont="1" applyAlignment="1" quotePrefix="1">
      <alignment/>
    </xf>
    <xf numFmtId="0" fontId="2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10" fontId="6" fillId="0" borderId="0" xfId="0" applyNumberFormat="1" applyFont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10" fontId="15" fillId="0" borderId="57" xfId="0" applyNumberFormat="1" applyFont="1" applyBorder="1" applyAlignment="1">
      <alignment/>
    </xf>
    <xf numFmtId="10" fontId="1" fillId="0" borderId="60" xfId="0" applyNumberFormat="1" applyFont="1" applyBorder="1" applyAlignment="1">
      <alignment/>
    </xf>
    <xf numFmtId="10" fontId="15" fillId="0" borderId="72" xfId="0" applyNumberFormat="1" applyFont="1" applyBorder="1" applyAlignment="1">
      <alignment/>
    </xf>
    <xf numFmtId="10" fontId="15" fillId="0" borderId="73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0" fontId="3" fillId="0" borderId="60" xfId="0" applyNumberFormat="1" applyFont="1" applyBorder="1" applyAlignment="1">
      <alignment horizontal="right"/>
    </xf>
    <xf numFmtId="0" fontId="37" fillId="0" borderId="0" xfId="0" applyFont="1" applyAlignment="1">
      <alignment/>
    </xf>
    <xf numFmtId="3" fontId="38" fillId="0" borderId="0" xfId="0" applyNumberFormat="1" applyFont="1" applyAlignment="1">
      <alignment/>
    </xf>
    <xf numFmtId="10" fontId="8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4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4" fontId="39" fillId="0" borderId="27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/>
    </xf>
    <xf numFmtId="10" fontId="1" fillId="0" borderId="7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74" xfId="0" applyFont="1" applyFill="1" applyBorder="1" applyAlignment="1">
      <alignment/>
    </xf>
    <xf numFmtId="0" fontId="1" fillId="36" borderId="74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4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23" xfId="0" applyNumberFormat="1" applyFont="1" applyBorder="1" applyAlignment="1">
      <alignment/>
    </xf>
    <xf numFmtId="2" fontId="1" fillId="0" borderId="73" xfId="0" applyNumberFormat="1" applyFont="1" applyBorder="1" applyAlignment="1">
      <alignment/>
    </xf>
    <xf numFmtId="0" fontId="41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6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3" fillId="0" borderId="28" xfId="0" applyFont="1" applyBorder="1" applyAlignment="1" quotePrefix="1">
      <alignment/>
    </xf>
    <xf numFmtId="172" fontId="23" fillId="0" borderId="0" xfId="0" applyNumberFormat="1" applyFont="1" applyBorder="1" applyAlignment="1">
      <alignment/>
    </xf>
    <xf numFmtId="0" fontId="43" fillId="0" borderId="0" xfId="0" applyFont="1" applyBorder="1" applyAlignment="1" quotePrefix="1">
      <alignment/>
    </xf>
    <xf numFmtId="0" fontId="23" fillId="0" borderId="0" xfId="0" applyFont="1" applyBorder="1" applyAlignment="1">
      <alignment/>
    </xf>
    <xf numFmtId="0" fontId="23" fillId="0" borderId="28" xfId="0" applyFont="1" applyBorder="1" applyAlignment="1">
      <alignment/>
    </xf>
    <xf numFmtId="10" fontId="2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72" fontId="23" fillId="0" borderId="25" xfId="0" applyNumberFormat="1" applyFont="1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Border="1" applyAlignment="1">
      <alignment horizontal="left"/>
    </xf>
    <xf numFmtId="0" fontId="1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15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16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17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3" borderId="78" xfId="0" applyFont="1" applyFill="1" applyBorder="1" applyAlignment="1">
      <alignment horizontal="center"/>
    </xf>
    <xf numFmtId="0" fontId="10" fillId="33" borderId="77" xfId="0" applyFont="1" applyFill="1" applyBorder="1" applyAlignment="1">
      <alignment horizontal="center"/>
    </xf>
    <xf numFmtId="0" fontId="10" fillId="33" borderId="78" xfId="0" applyFont="1" applyFill="1" applyBorder="1" applyAlignment="1">
      <alignment horizontal="center"/>
    </xf>
    <xf numFmtId="0" fontId="115" fillId="0" borderId="0" xfId="0" applyFont="1" applyFill="1" applyAlignment="1">
      <alignment horizontal="center"/>
    </xf>
    <xf numFmtId="0" fontId="119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5" fillId="37" borderId="0" xfId="0" applyFont="1" applyFill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3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Font="1" applyBorder="1" applyAlignment="1">
      <alignment/>
    </xf>
    <xf numFmtId="3" fontId="1" fillId="0" borderId="86" xfId="0" applyNumberFormat="1" applyFont="1" applyBorder="1" applyAlignment="1">
      <alignment/>
    </xf>
    <xf numFmtId="0" fontId="0" fillId="0" borderId="87" xfId="0" applyBorder="1" applyAlignment="1">
      <alignment/>
    </xf>
    <xf numFmtId="3" fontId="1" fillId="0" borderId="88" xfId="0" applyNumberFormat="1" applyFont="1" applyBorder="1" applyAlignment="1">
      <alignment/>
    </xf>
    <xf numFmtId="0" fontId="14" fillId="0" borderId="84" xfId="0" applyFont="1" applyBorder="1" applyAlignment="1">
      <alignment/>
    </xf>
    <xf numFmtId="3" fontId="14" fillId="0" borderId="86" xfId="0" applyNumberFormat="1" applyFont="1" applyBorder="1" applyAlignment="1">
      <alignment/>
    </xf>
    <xf numFmtId="0" fontId="0" fillId="0" borderId="86" xfId="0" applyBorder="1" applyAlignment="1">
      <alignment/>
    </xf>
    <xf numFmtId="0" fontId="76" fillId="0" borderId="84" xfId="0" applyFont="1" applyBorder="1" applyAlignment="1">
      <alignment/>
    </xf>
    <xf numFmtId="3" fontId="13" fillId="0" borderId="86" xfId="0" applyNumberFormat="1" applyFont="1" applyBorder="1" applyAlignment="1">
      <alignment/>
    </xf>
    <xf numFmtId="0" fontId="11" fillId="37" borderId="84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7" borderId="85" xfId="0" applyFill="1" applyBorder="1" applyAlignment="1">
      <alignment/>
    </xf>
    <xf numFmtId="0" fontId="0" fillId="37" borderId="86" xfId="0" applyFill="1" applyBorder="1" applyAlignment="1">
      <alignment/>
    </xf>
    <xf numFmtId="3" fontId="11" fillId="37" borderId="86" xfId="0" applyNumberFormat="1" applyFont="1" applyFill="1" applyBorder="1" applyAlignment="1">
      <alignment/>
    </xf>
    <xf numFmtId="10" fontId="11" fillId="0" borderId="87" xfId="0" applyNumberFormat="1" applyFont="1" applyBorder="1" applyAlignment="1">
      <alignment/>
    </xf>
    <xf numFmtId="0" fontId="2" fillId="0" borderId="87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3" fontId="0" fillId="0" borderId="0" xfId="0" applyNumberFormat="1" applyAlignment="1">
      <alignment/>
    </xf>
    <xf numFmtId="0" fontId="1" fillId="0" borderId="86" xfId="0" applyFont="1" applyBorder="1" applyAlignment="1">
      <alignment/>
    </xf>
    <xf numFmtId="0" fontId="6" fillId="0" borderId="84" xfId="0" applyFont="1" applyBorder="1" applyAlignment="1">
      <alignment/>
    </xf>
    <xf numFmtId="3" fontId="13" fillId="0" borderId="88" xfId="0" applyNumberFormat="1" applyFont="1" applyBorder="1" applyAlignment="1">
      <alignment/>
    </xf>
    <xf numFmtId="0" fontId="0" fillId="37" borderId="0" xfId="0" applyFill="1" applyBorder="1" applyAlignment="1">
      <alignment/>
    </xf>
    <xf numFmtId="3" fontId="13" fillId="37" borderId="86" xfId="0" applyNumberFormat="1" applyFont="1" applyFill="1" applyBorder="1" applyAlignment="1">
      <alignment/>
    </xf>
    <xf numFmtId="0" fontId="3" fillId="0" borderId="84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3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8" borderId="79" xfId="0" applyFont="1" applyFill="1" applyBorder="1" applyAlignment="1">
      <alignment horizontal="center"/>
    </xf>
    <xf numFmtId="0" fontId="1" fillId="38" borderId="9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8" borderId="89" xfId="0" applyFill="1" applyBorder="1" applyAlignment="1">
      <alignment/>
    </xf>
    <xf numFmtId="0" fontId="1" fillId="38" borderId="93" xfId="0" applyFont="1" applyFill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left"/>
    </xf>
    <xf numFmtId="0" fontId="1" fillId="0" borderId="100" xfId="0" applyFont="1" applyBorder="1" applyAlignment="1">
      <alignment horizontal="left"/>
    </xf>
    <xf numFmtId="0" fontId="0" fillId="0" borderId="101" xfId="0" applyBorder="1" applyAlignment="1">
      <alignment/>
    </xf>
    <xf numFmtId="0" fontId="6" fillId="0" borderId="0" xfId="0" applyFont="1" applyAlignment="1">
      <alignment horizontal="left"/>
    </xf>
    <xf numFmtId="0" fontId="1" fillId="0" borderId="102" xfId="0" applyFont="1" applyBorder="1" applyAlignment="1">
      <alignment horizontal="center"/>
    </xf>
    <xf numFmtId="0" fontId="1" fillId="0" borderId="100" xfId="0" applyFont="1" applyBorder="1" applyAlignment="1">
      <alignment/>
    </xf>
    <xf numFmtId="0" fontId="1" fillId="0" borderId="96" xfId="0" applyFont="1" applyBorder="1" applyAlignment="1">
      <alignment/>
    </xf>
    <xf numFmtId="0" fontId="1" fillId="0" borderId="101" xfId="0" applyFont="1" applyBorder="1" applyAlignment="1">
      <alignment/>
    </xf>
    <xf numFmtId="0" fontId="1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0" fillId="0" borderId="102" xfId="0" applyBorder="1" applyAlignment="1">
      <alignment/>
    </xf>
    <xf numFmtId="0" fontId="82" fillId="0" borderId="86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8" xfId="0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98" xfId="0" applyFont="1" applyBorder="1" applyAlignment="1">
      <alignment/>
    </xf>
    <xf numFmtId="3" fontId="1" fillId="0" borderId="102" xfId="0" applyNumberFormat="1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0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9" fontId="1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83" fillId="0" borderId="0" xfId="0" applyFont="1" applyBorder="1" applyAlignment="1">
      <alignment horizontal="center"/>
    </xf>
    <xf numFmtId="3" fontId="11" fillId="0" borderId="10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" fillId="38" borderId="103" xfId="0" applyFont="1" applyFill="1" applyBorder="1" applyAlignment="1">
      <alignment horizontal="center"/>
    </xf>
    <xf numFmtId="3" fontId="23" fillId="0" borderId="86" xfId="0" applyNumberFormat="1" applyFont="1" applyBorder="1" applyAlignment="1">
      <alignment/>
    </xf>
    <xf numFmtId="3" fontId="23" fillId="0" borderId="88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0" fontId="1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9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0" borderId="103" xfId="0" applyNumberFormat="1" applyFont="1" applyBorder="1" applyAlignment="1">
      <alignment/>
    </xf>
    <xf numFmtId="0" fontId="23" fillId="0" borderId="107" xfId="0" applyFont="1" applyBorder="1" applyAlignment="1">
      <alignment horizontal="center"/>
    </xf>
    <xf numFmtId="0" fontId="1" fillId="0" borderId="108" xfId="0" applyFont="1" applyBorder="1" applyAlignment="1">
      <alignment/>
    </xf>
    <xf numFmtId="0" fontId="0" fillId="0" borderId="109" xfId="0" applyBorder="1" applyAlignment="1">
      <alignment/>
    </xf>
    <xf numFmtId="174" fontId="1" fillId="0" borderId="103" xfId="44" applyFont="1" applyFill="1" applyBorder="1" applyAlignment="1" applyProtection="1">
      <alignment/>
      <protection/>
    </xf>
    <xf numFmtId="0" fontId="3" fillId="0" borderId="102" xfId="0" applyFont="1" applyBorder="1" applyAlignment="1">
      <alignment horizontal="center"/>
    </xf>
    <xf numFmtId="174" fontId="3" fillId="0" borderId="102" xfId="44" applyFont="1" applyFill="1" applyBorder="1" applyAlignment="1" applyProtection="1">
      <alignment/>
      <protection/>
    </xf>
    <xf numFmtId="174" fontId="0" fillId="0" borderId="0" xfId="0" applyNumberFormat="1" applyAlignment="1">
      <alignment/>
    </xf>
    <xf numFmtId="0" fontId="3" fillId="0" borderId="100" xfId="0" applyFont="1" applyBorder="1" applyAlignment="1">
      <alignment/>
    </xf>
    <xf numFmtId="0" fontId="3" fillId="0" borderId="101" xfId="0" applyFont="1" applyBorder="1" applyAlignment="1">
      <alignment/>
    </xf>
    <xf numFmtId="174" fontId="3" fillId="0" borderId="88" xfId="44" applyFont="1" applyFill="1" applyBorder="1" applyAlignment="1" applyProtection="1">
      <alignment/>
      <protection/>
    </xf>
    <xf numFmtId="9" fontId="1" fillId="0" borderId="0" xfId="0" applyNumberFormat="1" applyFont="1" applyAlignment="1">
      <alignment/>
    </xf>
    <xf numFmtId="174" fontId="1" fillId="0" borderId="0" xfId="44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84" fillId="0" borderId="0" xfId="0" applyFont="1" applyAlignment="1">
      <alignment/>
    </xf>
    <xf numFmtId="0" fontId="0" fillId="38" borderId="110" xfId="0" applyFill="1" applyBorder="1" applyAlignment="1">
      <alignment/>
    </xf>
    <xf numFmtId="0" fontId="3" fillId="38" borderId="111" xfId="0" applyFont="1" applyFill="1" applyBorder="1" applyAlignment="1">
      <alignment horizontal="center"/>
    </xf>
    <xf numFmtId="0" fontId="3" fillId="38" borderId="112" xfId="0" applyFont="1" applyFill="1" applyBorder="1" applyAlignment="1">
      <alignment horizontal="center"/>
    </xf>
    <xf numFmtId="0" fontId="3" fillId="0" borderId="113" xfId="0" applyFont="1" applyBorder="1" applyAlignment="1">
      <alignment/>
    </xf>
    <xf numFmtId="174" fontId="1" fillId="0" borderId="102" xfId="0" applyNumberFormat="1" applyFont="1" applyBorder="1" applyAlignment="1">
      <alignment/>
    </xf>
    <xf numFmtId="0" fontId="1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1" fillId="0" borderId="116" xfId="0" applyFont="1" applyBorder="1" applyAlignment="1">
      <alignment/>
    </xf>
    <xf numFmtId="0" fontId="3" fillId="0" borderId="117" xfId="0" applyFont="1" applyBorder="1" applyAlignment="1">
      <alignment/>
    </xf>
    <xf numFmtId="174" fontId="1" fillId="0" borderId="88" xfId="0" applyNumberFormat="1" applyFont="1" applyBorder="1" applyAlignment="1">
      <alignment/>
    </xf>
    <xf numFmtId="9" fontId="1" fillId="0" borderId="118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9" fontId="1" fillId="0" borderId="114" xfId="0" applyNumberFormat="1" applyFont="1" applyBorder="1" applyAlignment="1">
      <alignment/>
    </xf>
    <xf numFmtId="174" fontId="1" fillId="0" borderId="96" xfId="0" applyNumberFormat="1" applyFont="1" applyBorder="1" applyAlignment="1">
      <alignment/>
    </xf>
    <xf numFmtId="0" fontId="3" fillId="0" borderId="119" xfId="0" applyFont="1" applyBorder="1" applyAlignment="1">
      <alignment/>
    </xf>
    <xf numFmtId="174" fontId="1" fillId="0" borderId="120" xfId="0" applyNumberFormat="1" applyFont="1" applyBorder="1" applyAlignment="1">
      <alignment/>
    </xf>
    <xf numFmtId="9" fontId="1" fillId="0" borderId="121" xfId="0" applyNumberFormat="1" applyFont="1" applyBorder="1" applyAlignment="1">
      <alignment/>
    </xf>
    <xf numFmtId="174" fontId="11" fillId="0" borderId="103" xfId="0" applyNumberFormat="1" applyFont="1" applyBorder="1" applyAlignment="1">
      <alignment/>
    </xf>
    <xf numFmtId="0" fontId="43" fillId="0" borderId="0" xfId="0" applyFont="1" applyAlignment="1">
      <alignment/>
    </xf>
    <xf numFmtId="174" fontId="11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74" fillId="0" borderId="0" xfId="0" applyFont="1" applyAlignment="1">
      <alignment/>
    </xf>
    <xf numFmtId="0" fontId="87" fillId="0" borderId="0" xfId="0" applyFont="1" applyAlignment="1">
      <alignment horizontal="right"/>
    </xf>
    <xf numFmtId="0" fontId="5" fillId="0" borderId="0" xfId="0" applyFont="1" applyAlignment="1">
      <alignment/>
    </xf>
    <xf numFmtId="9" fontId="88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8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4" fontId="11" fillId="37" borderId="103" xfId="44" applyFont="1" applyFill="1" applyBorder="1" applyAlignment="1" applyProtection="1">
      <alignment/>
      <protection/>
    </xf>
    <xf numFmtId="0" fontId="0" fillId="0" borderId="122" xfId="0" applyBorder="1" applyAlignment="1">
      <alignment/>
    </xf>
    <xf numFmtId="0" fontId="1" fillId="0" borderId="109" xfId="0" applyFont="1" applyBorder="1" applyAlignment="1">
      <alignment/>
    </xf>
    <xf numFmtId="174" fontId="11" fillId="0" borderId="109" xfId="44" applyFont="1" applyFill="1" applyBorder="1" applyAlignment="1" applyProtection="1">
      <alignment/>
      <protection/>
    </xf>
    <xf numFmtId="0" fontId="1" fillId="0" borderId="102" xfId="0" applyFont="1" applyBorder="1" applyAlignment="1">
      <alignment/>
    </xf>
    <xf numFmtId="174" fontId="1" fillId="0" borderId="102" xfId="44" applyFont="1" applyFill="1" applyBorder="1" applyAlignment="1" applyProtection="1">
      <alignment/>
      <protection/>
    </xf>
    <xf numFmtId="174" fontId="3" fillId="0" borderId="86" xfId="44" applyFont="1" applyFill="1" applyBorder="1" applyAlignment="1" applyProtection="1">
      <alignment/>
      <protection/>
    </xf>
    <xf numFmtId="0" fontId="0" fillId="0" borderId="96" xfId="0" applyBorder="1" applyAlignment="1">
      <alignment/>
    </xf>
    <xf numFmtId="0" fontId="3" fillId="0" borderId="96" xfId="0" applyFont="1" applyBorder="1" applyAlignment="1">
      <alignment/>
    </xf>
    <xf numFmtId="174" fontId="1" fillId="0" borderId="103" xfId="0" applyNumberFormat="1" applyFont="1" applyBorder="1" applyAlignment="1">
      <alignment/>
    </xf>
    <xf numFmtId="0" fontId="3" fillId="0" borderId="108" xfId="0" applyFont="1" applyBorder="1" applyAlignment="1">
      <alignment/>
    </xf>
    <xf numFmtId="10" fontId="3" fillId="0" borderId="0" xfId="0" applyNumberFormat="1" applyFont="1" applyAlignment="1">
      <alignment/>
    </xf>
    <xf numFmtId="174" fontId="3" fillId="0" borderId="88" xfId="0" applyNumberFormat="1" applyFont="1" applyBorder="1" applyAlignment="1">
      <alignment/>
    </xf>
    <xf numFmtId="0" fontId="1" fillId="0" borderId="88" xfId="0" applyFont="1" applyBorder="1" applyAlignment="1">
      <alignment/>
    </xf>
    <xf numFmtId="0" fontId="1" fillId="0" borderId="122" xfId="0" applyFont="1" applyBorder="1" applyAlignment="1">
      <alignment/>
    </xf>
    <xf numFmtId="174" fontId="11" fillId="0" borderId="88" xfId="0" applyNumberFormat="1" applyFont="1" applyBorder="1" applyAlignment="1">
      <alignment/>
    </xf>
    <xf numFmtId="174" fontId="11" fillId="37" borderId="103" xfId="0" applyNumberFormat="1" applyFont="1" applyFill="1" applyBorder="1" applyAlignment="1">
      <alignment/>
    </xf>
    <xf numFmtId="0" fontId="14" fillId="0" borderId="0" xfId="0" applyFont="1" applyAlignment="1">
      <alignment/>
    </xf>
    <xf numFmtId="174" fontId="3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du résultat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25"/>
          <c:w val="0.9325"/>
          <c:h val="0.87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'Evolution résultats'!$C$6</c:f>
              <c:strCache>
                <c:ptCount val="1"/>
                <c:pt idx="0">
                  <c:v>N-1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'Evolution résultats'!$A$7:$A$12</c:f>
              <c:strCache>
                <c:ptCount val="6"/>
                <c:pt idx="0">
                  <c:v>Produits d'exploitation</c:v>
                </c:pt>
                <c:pt idx="1">
                  <c:v>Produits financiers</c:v>
                </c:pt>
                <c:pt idx="2">
                  <c:v>Produits exceptionnels</c:v>
                </c:pt>
                <c:pt idx="3">
                  <c:v>Charges d'exploitation</c:v>
                </c:pt>
                <c:pt idx="4">
                  <c:v>Charges financières</c:v>
                </c:pt>
                <c:pt idx="5">
                  <c:v>Charges exceptionnelles</c:v>
                </c:pt>
              </c:strCache>
            </c:strRef>
          </c:cat>
          <c:val>
            <c:numRef>
              <c:f>'Evolution résultats'!$C$7:$C$12</c:f>
              <c:numCache>
                <c:ptCount val="6"/>
                <c:pt idx="0">
                  <c:v>4715580.0600000005</c:v>
                </c:pt>
                <c:pt idx="1">
                  <c:v>91367.2</c:v>
                </c:pt>
                <c:pt idx="2">
                  <c:v>74248.13</c:v>
                </c:pt>
                <c:pt idx="3">
                  <c:v>-3802026.2499999995</c:v>
                </c:pt>
                <c:pt idx="4">
                  <c:v>-131126.24</c:v>
                </c:pt>
                <c:pt idx="5">
                  <c:v>-154430.1</c:v>
                </c:pt>
              </c:numCache>
            </c:numRef>
          </c:val>
        </c:ser>
        <c:ser>
          <c:idx val="2"/>
          <c:order val="1"/>
          <c:tx>
            <c:strRef>
              <c:f>'Evolution résultats'!$D$6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80">
                <a:fgClr>
                  <a:srgbClr val="FFFF00"/>
                </a:fgClr>
                <a:bgClr>
                  <a:srgbClr val="800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'Evolution résultats'!$A$7:$A$12</c:f>
              <c:strCache>
                <c:ptCount val="6"/>
                <c:pt idx="0">
                  <c:v>Produits d'exploitation</c:v>
                </c:pt>
                <c:pt idx="1">
                  <c:v>Produits financiers</c:v>
                </c:pt>
                <c:pt idx="2">
                  <c:v>Produits exceptionnels</c:v>
                </c:pt>
                <c:pt idx="3">
                  <c:v>Charges d'exploitation</c:v>
                </c:pt>
                <c:pt idx="4">
                  <c:v>Charges financières</c:v>
                </c:pt>
                <c:pt idx="5">
                  <c:v>Charges exceptionnelles</c:v>
                </c:pt>
              </c:strCache>
            </c:strRef>
          </c:cat>
          <c:val>
            <c:numRef>
              <c:f>'Evolution résultats'!$D$7:$D$12</c:f>
              <c:numCache>
                <c:ptCount val="6"/>
                <c:pt idx="0">
                  <c:v>4951715.44</c:v>
                </c:pt>
                <c:pt idx="1">
                  <c:v>96176</c:v>
                </c:pt>
                <c:pt idx="2">
                  <c:v>280775.07</c:v>
                </c:pt>
                <c:pt idx="3">
                  <c:v>-4183509.51</c:v>
                </c:pt>
                <c:pt idx="4">
                  <c:v>-139496</c:v>
                </c:pt>
                <c:pt idx="5">
                  <c:v>-171589</c:v>
                </c:pt>
              </c:numCache>
            </c:numRef>
          </c:val>
        </c:ser>
        <c:overlap val="100"/>
        <c:axId val="66922572"/>
        <c:axId val="65432237"/>
      </c:barChart>
      <c:catAx>
        <c:axId val="6692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2237"/>
        <c:crosses val="autoZero"/>
        <c:auto val="1"/>
        <c:lblOffset val="100"/>
        <c:tickLblSkip val="1"/>
        <c:noMultiLvlLbl val="0"/>
      </c:catAx>
      <c:valAx>
        <c:axId val="65432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22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75"/>
          <c:y val="0.51"/>
          <c:w val="0.04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0.54125</cdr:x>
      <cdr:y>0.18925</cdr:y>
    </cdr:from>
    <cdr:to>
      <cdr:x>0.79225</cdr:x>
      <cdr:y>0.30475</cdr:y>
    </cdr:to>
    <cdr:sp>
      <cdr:nvSpPr>
        <cdr:cNvPr id="1" name="Oval 2"/>
        <cdr:cNvSpPr>
          <a:spLocks/>
        </cdr:cNvSpPr>
      </cdr:nvSpPr>
      <cdr:spPr>
        <a:xfrm>
          <a:off x="5000625" y="1085850"/>
          <a:ext cx="2314575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0.21275</cdr:y>
    </cdr:from>
    <cdr:to>
      <cdr:x>0.80775</cdr:x>
      <cdr:y>0.28625</cdr:y>
    </cdr:to>
    <cdr:sp>
      <cdr:nvSpPr>
        <cdr:cNvPr id="2" name="Text Box 1"/>
        <cdr:cNvSpPr txBox="1">
          <a:spLocks noChangeArrowheads="1"/>
        </cdr:cNvSpPr>
      </cdr:nvSpPr>
      <cdr:spPr>
        <a:xfrm>
          <a:off x="4895850" y="1219200"/>
          <a:ext cx="2562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Augmentation considérable des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Produits exceptionnels !!!</a:t>
          </a:r>
        </a:p>
      </cdr:txBody>
    </cdr:sp>
  </cdr:relSizeAnchor>
  <cdr:relSizeAnchor xmlns:cdr="http://schemas.openxmlformats.org/drawingml/2006/chartDrawing">
    <cdr:from>
      <cdr:x>0.48425</cdr:x>
      <cdr:y>0.24775</cdr:y>
    </cdr:from>
    <cdr:to>
      <cdr:x>0.54125</cdr:x>
      <cdr:y>0.24775</cdr:y>
    </cdr:to>
    <cdr:sp>
      <cdr:nvSpPr>
        <cdr:cNvPr id="3" name="Line 3"/>
        <cdr:cNvSpPr>
          <a:spLocks/>
        </cdr:cNvSpPr>
      </cdr:nvSpPr>
      <cdr:spPr>
        <a:xfrm flipH="1">
          <a:off x="4467225" y="1419225"/>
          <a:ext cx="523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133350</xdr:rowOff>
    </xdr:from>
    <xdr:to>
      <xdr:col>1</xdr:col>
      <xdr:colOff>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2667000" y="1562100"/>
          <a:ext cx="0" cy="1323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695325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0" y="2886075"/>
          <a:ext cx="2705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47625</xdr:rowOff>
    </xdr:from>
    <xdr:to>
      <xdr:col>3</xdr:col>
      <xdr:colOff>685800</xdr:colOff>
      <xdr:row>16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2676525" y="1638300"/>
          <a:ext cx="2686050" cy="124777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28575</xdr:rowOff>
    </xdr:from>
    <xdr:to>
      <xdr:col>1</xdr:col>
      <xdr:colOff>0</xdr:colOff>
      <xdr:row>32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2667000" y="4048125"/>
          <a:ext cx="0" cy="1428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676275</xdr:colOff>
      <xdr:row>33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667000" y="5476875"/>
          <a:ext cx="2686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142875</xdr:rowOff>
    </xdr:from>
    <xdr:to>
      <xdr:col>3</xdr:col>
      <xdr:colOff>704850</xdr:colOff>
      <xdr:row>28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667000" y="4810125"/>
          <a:ext cx="271462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220</xdr:row>
      <xdr:rowOff>95250</xdr:rowOff>
    </xdr:from>
    <xdr:to>
      <xdr:col>2</xdr:col>
      <xdr:colOff>685800</xdr:colOff>
      <xdr:row>225</xdr:row>
      <xdr:rowOff>104775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2476500" y="34918650"/>
          <a:ext cx="6858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         </a:t>
          </a:r>
          <a:r>
            <a:rPr lang="en-US" cap="none" sz="1000" b="0" i="0" u="sng" baseline="0">
              <a:solidFill>
                <a:srgbClr val="00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Q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Q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sng" baseline="0">
              <a:solidFill>
                <a:srgbClr val="00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</a:t>
          </a:r>
        </a:p>
      </xdr:txBody>
    </xdr:sp>
    <xdr:clientData/>
  </xdr:twoCellAnchor>
  <xdr:twoCellAnchor>
    <xdr:from>
      <xdr:col>2</xdr:col>
      <xdr:colOff>238125</xdr:colOff>
      <xdr:row>223</xdr:row>
      <xdr:rowOff>28575</xdr:rowOff>
    </xdr:from>
    <xdr:to>
      <xdr:col>2</xdr:col>
      <xdr:colOff>600075</xdr:colOff>
      <xdr:row>223</xdr:row>
      <xdr:rowOff>28575</xdr:rowOff>
    </xdr:to>
    <xdr:sp>
      <xdr:nvSpPr>
        <xdr:cNvPr id="2" name="Line 5"/>
        <xdr:cNvSpPr>
          <a:spLocks/>
        </xdr:cNvSpPr>
      </xdr:nvSpPr>
      <xdr:spPr>
        <a:xfrm>
          <a:off x="2714625" y="353377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220</xdr:row>
      <xdr:rowOff>114300</xdr:rowOff>
    </xdr:from>
    <xdr:to>
      <xdr:col>3</xdr:col>
      <xdr:colOff>1000125</xdr:colOff>
      <xdr:row>225</xdr:row>
      <xdr:rowOff>85725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4133850" y="34937700"/>
          <a:ext cx="9906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000" b="0" i="0" u="sng" baseline="0">
              <a:solidFill>
                <a:srgbClr val="00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Q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Q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- 10%</a:t>
          </a:r>
        </a:p>
      </xdr:txBody>
    </xdr:sp>
    <xdr:clientData/>
  </xdr:twoCellAnchor>
  <xdr:twoCellAnchor>
    <xdr:from>
      <xdr:col>3</xdr:col>
      <xdr:colOff>342900</xdr:colOff>
      <xdr:row>223</xdr:row>
      <xdr:rowOff>28575</xdr:rowOff>
    </xdr:from>
    <xdr:to>
      <xdr:col>3</xdr:col>
      <xdr:colOff>838200</xdr:colOff>
      <xdr:row>223</xdr:row>
      <xdr:rowOff>28575</xdr:rowOff>
    </xdr:to>
    <xdr:sp>
      <xdr:nvSpPr>
        <xdr:cNvPr id="4" name="Line 7"/>
        <xdr:cNvSpPr>
          <a:spLocks/>
        </xdr:cNvSpPr>
      </xdr:nvSpPr>
      <xdr:spPr>
        <a:xfrm>
          <a:off x="4467225" y="353377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222</xdr:row>
      <xdr:rowOff>104775</xdr:rowOff>
    </xdr:from>
    <xdr:to>
      <xdr:col>2</xdr:col>
      <xdr:colOff>1314450</xdr:colOff>
      <xdr:row>223</xdr:row>
      <xdr:rowOff>133350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295650" y="3525202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d'où :</a:t>
          </a:r>
        </a:p>
      </xdr:txBody>
    </xdr:sp>
    <xdr:clientData/>
  </xdr:twoCellAnchor>
  <xdr:twoCellAnchor>
    <xdr:from>
      <xdr:col>1</xdr:col>
      <xdr:colOff>57150</xdr:colOff>
      <xdr:row>222</xdr:row>
      <xdr:rowOff>76200</xdr:rowOff>
    </xdr:from>
    <xdr:to>
      <xdr:col>1</xdr:col>
      <xdr:colOff>809625</xdr:colOff>
      <xdr:row>223</xdr:row>
      <xdr:rowOff>133350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1362075" y="35223450"/>
          <a:ext cx="752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(Rappel)</a:t>
          </a:r>
        </a:p>
      </xdr:txBody>
    </xdr:sp>
    <xdr:clientData/>
  </xdr:twoCellAnchor>
  <xdr:twoCellAnchor>
    <xdr:from>
      <xdr:col>3</xdr:col>
      <xdr:colOff>1238250</xdr:colOff>
      <xdr:row>222</xdr:row>
      <xdr:rowOff>57150</xdr:rowOff>
    </xdr:from>
    <xdr:to>
      <xdr:col>3</xdr:col>
      <xdr:colOff>1638300</xdr:colOff>
      <xdr:row>223</xdr:row>
      <xdr:rowOff>85725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5362575" y="3520440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d'où :</a:t>
          </a:r>
        </a:p>
      </xdr:txBody>
    </xdr:sp>
    <xdr:clientData/>
  </xdr:twoCellAnchor>
  <xdr:twoCellAnchor>
    <xdr:from>
      <xdr:col>4</xdr:col>
      <xdr:colOff>190500</xdr:colOff>
      <xdr:row>221</xdr:row>
      <xdr:rowOff>114300</xdr:rowOff>
    </xdr:from>
    <xdr:to>
      <xdr:col>4</xdr:col>
      <xdr:colOff>1209675</xdr:colOff>
      <xdr:row>224</xdr:row>
      <xdr:rowOff>76200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5953125" y="35099625"/>
          <a:ext cx="10191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sng" baseline="0">
              <a:solidFill>
                <a:srgbClr val="00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= - 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 * -10%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Q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%2016%206\MEVELLEC%202016\compte%20de%20r&#233;sultat%20diff&#233;rentiel%20et%20seuil%20de%20rentabil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 différentiel"/>
      <sheetName val="Seuil de rentabilité"/>
      <sheetName val="intro"/>
    </sheetNames>
    <sheetDataSet>
      <sheetData sheetId="1">
        <row r="114">
          <cell r="C114">
            <v>0.4</v>
          </cell>
        </row>
        <row r="115">
          <cell r="F115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57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17.00390625" style="0" customWidth="1"/>
    <col min="2" max="2" width="14.140625" style="0" customWidth="1"/>
    <col min="3" max="3" width="3.140625" style="0" customWidth="1"/>
  </cols>
  <sheetData>
    <row r="1" spans="1:12" ht="20.25">
      <c r="A1" s="230" t="s">
        <v>247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3" ht="18">
      <c r="A3" s="159" t="s">
        <v>253</v>
      </c>
    </row>
    <row r="5" ht="12.75">
      <c r="A5" s="157" t="s">
        <v>248</v>
      </c>
    </row>
    <row r="6" ht="12.75">
      <c r="A6" t="s">
        <v>249</v>
      </c>
    </row>
    <row r="7" ht="12.75">
      <c r="A7" t="s">
        <v>250</v>
      </c>
    </row>
    <row r="8" ht="12.75">
      <c r="A8" t="s">
        <v>376</v>
      </c>
    </row>
    <row r="9" ht="12.75">
      <c r="A9" t="s">
        <v>251</v>
      </c>
    </row>
    <row r="10" ht="12.75">
      <c r="A10" s="157" t="s">
        <v>342</v>
      </c>
    </row>
    <row r="11" ht="12.75">
      <c r="A11" t="s">
        <v>252</v>
      </c>
    </row>
    <row r="12" ht="12.75">
      <c r="A12" s="157" t="s">
        <v>16</v>
      </c>
    </row>
    <row r="14" ht="18">
      <c r="A14" s="159" t="s">
        <v>254</v>
      </c>
    </row>
    <row r="16" ht="12.75">
      <c r="A16" s="161" t="s">
        <v>255</v>
      </c>
    </row>
    <row r="17" spans="1:4" ht="12.75">
      <c r="A17" s="164" t="s">
        <v>256</v>
      </c>
      <c r="C17" s="160" t="s">
        <v>263</v>
      </c>
      <c r="D17" s="162" t="s">
        <v>261</v>
      </c>
    </row>
    <row r="18" spans="1:4" ht="12.75">
      <c r="A18" s="164" t="s">
        <v>257</v>
      </c>
      <c r="C18" s="160" t="s">
        <v>263</v>
      </c>
      <c r="D18" s="162" t="s">
        <v>262</v>
      </c>
    </row>
    <row r="19" spans="1:4" ht="12.75">
      <c r="A19" s="164" t="s">
        <v>258</v>
      </c>
      <c r="C19" s="160" t="s">
        <v>263</v>
      </c>
      <c r="D19" s="162" t="s">
        <v>371</v>
      </c>
    </row>
    <row r="20" spans="1:4" ht="12.75">
      <c r="A20" s="164"/>
      <c r="C20" s="160"/>
      <c r="D20" s="5" t="s">
        <v>368</v>
      </c>
    </row>
    <row r="21" spans="1:4" ht="12.75">
      <c r="A21" s="164" t="s">
        <v>259</v>
      </c>
      <c r="C21" s="160" t="s">
        <v>263</v>
      </c>
      <c r="D21" s="162" t="s">
        <v>343</v>
      </c>
    </row>
    <row r="22" spans="1:4" ht="12.75">
      <c r="A22" s="164"/>
      <c r="C22" s="160"/>
      <c r="D22" s="5" t="s">
        <v>369</v>
      </c>
    </row>
    <row r="23" spans="1:4" ht="12.75">
      <c r="A23" s="164"/>
      <c r="C23" s="160"/>
      <c r="D23" s="5" t="s">
        <v>372</v>
      </c>
    </row>
    <row r="24" spans="1:4" ht="12.75">
      <c r="A24" s="164" t="s">
        <v>271</v>
      </c>
      <c r="C24" s="160" t="s">
        <v>263</v>
      </c>
      <c r="D24" s="162" t="s">
        <v>264</v>
      </c>
    </row>
    <row r="25" spans="1:4" ht="12.75">
      <c r="A25" s="164" t="s">
        <v>370</v>
      </c>
      <c r="C25" s="160" t="s">
        <v>263</v>
      </c>
      <c r="D25" s="162" t="s">
        <v>377</v>
      </c>
    </row>
    <row r="26" spans="1:4" ht="12.75">
      <c r="A26" s="164" t="s">
        <v>260</v>
      </c>
      <c r="C26" s="160" t="s">
        <v>263</v>
      </c>
      <c r="D26" s="162" t="s">
        <v>373</v>
      </c>
    </row>
    <row r="27" spans="1:4" ht="12.75">
      <c r="A27" s="164" t="s">
        <v>378</v>
      </c>
      <c r="C27" s="160" t="s">
        <v>263</v>
      </c>
      <c r="D27" s="162" t="s">
        <v>374</v>
      </c>
    </row>
    <row r="29" ht="12.75">
      <c r="A29" s="161" t="s">
        <v>265</v>
      </c>
    </row>
    <row r="30" spans="1:4" ht="12.75">
      <c r="A30" s="158" t="s">
        <v>266</v>
      </c>
      <c r="C30" s="160" t="s">
        <v>263</v>
      </c>
      <c r="D30" s="162" t="s">
        <v>379</v>
      </c>
    </row>
    <row r="31" spans="3:4" ht="12.75">
      <c r="C31" s="160"/>
      <c r="D31" s="162" t="s">
        <v>380</v>
      </c>
    </row>
    <row r="32" ht="12.75">
      <c r="D32" s="162" t="s">
        <v>268</v>
      </c>
    </row>
    <row r="33" spans="1:4" ht="12.75">
      <c r="A33" s="158" t="s">
        <v>267</v>
      </c>
      <c r="C33" s="160" t="s">
        <v>263</v>
      </c>
      <c r="D33" s="162" t="s">
        <v>273</v>
      </c>
    </row>
    <row r="34" spans="1:4" ht="12.75">
      <c r="A34" s="158"/>
      <c r="C34" s="160"/>
      <c r="D34" s="162" t="s">
        <v>274</v>
      </c>
    </row>
    <row r="35" ht="12.75">
      <c r="D35" s="162" t="s">
        <v>275</v>
      </c>
    </row>
    <row r="36" ht="12.75">
      <c r="D36" s="162" t="s">
        <v>269</v>
      </c>
    </row>
    <row r="37" ht="12.75">
      <c r="D37" s="162" t="s">
        <v>270</v>
      </c>
    </row>
    <row r="38" ht="12.75">
      <c r="D38" s="162" t="s">
        <v>375</v>
      </c>
    </row>
    <row r="39" ht="12.75">
      <c r="D39" s="162" t="s">
        <v>276</v>
      </c>
    </row>
    <row r="40" ht="12.75">
      <c r="D40" s="162" t="s">
        <v>272</v>
      </c>
    </row>
    <row r="41" ht="12.75">
      <c r="D41" s="162" t="s">
        <v>277</v>
      </c>
    </row>
    <row r="45" spans="1:12" ht="26.25">
      <c r="A45" s="231" t="s">
        <v>419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</row>
    <row r="47" ht="12.75">
      <c r="A47" s="158" t="s">
        <v>420</v>
      </c>
    </row>
    <row r="49" ht="12.75">
      <c r="A49" s="180" t="s">
        <v>421</v>
      </c>
    </row>
    <row r="50" ht="12.75">
      <c r="A50" s="190"/>
    </row>
    <row r="51" ht="12.75">
      <c r="A51" s="190"/>
    </row>
    <row r="52" ht="12.75">
      <c r="A52" s="180" t="s">
        <v>382</v>
      </c>
    </row>
    <row r="53" ht="12.75">
      <c r="A53" s="190"/>
    </row>
    <row r="54" ht="12.75">
      <c r="A54" s="190"/>
    </row>
    <row r="55" ht="12.75">
      <c r="A55" s="180" t="s">
        <v>357</v>
      </c>
    </row>
    <row r="56" ht="12.75">
      <c r="A56" s="158" t="s">
        <v>383</v>
      </c>
    </row>
    <row r="57" ht="12.75">
      <c r="A57" s="190"/>
    </row>
  </sheetData>
  <sheetProtection/>
  <mergeCells count="2">
    <mergeCell ref="A1:L1"/>
    <mergeCell ref="A45:L4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49.7109375" style="0" customWidth="1"/>
    <col min="2" max="2" width="21.421875" style="2" customWidth="1"/>
    <col min="3" max="3" width="17.8515625" style="2" customWidth="1"/>
    <col min="4" max="4" width="46.28125" style="0" customWidth="1"/>
    <col min="5" max="5" width="16.8515625" style="2" customWidth="1"/>
    <col min="6" max="6" width="18.421875" style="2" customWidth="1"/>
  </cols>
  <sheetData>
    <row r="1" spans="1:6" ht="18">
      <c r="A1" s="232" t="s">
        <v>412</v>
      </c>
      <c r="B1" s="232"/>
      <c r="C1" s="232"/>
      <c r="D1" s="232"/>
      <c r="E1" s="232"/>
      <c r="F1" s="232"/>
    </row>
    <row r="2" ht="13.5" thickBot="1"/>
    <row r="3" spans="1:6" ht="19.5" thickBot="1" thickTop="1">
      <c r="A3" s="110" t="s">
        <v>19</v>
      </c>
      <c r="B3" s="111" t="s">
        <v>20</v>
      </c>
      <c r="C3" s="112" t="s">
        <v>21</v>
      </c>
      <c r="D3" s="113" t="s">
        <v>22</v>
      </c>
      <c r="E3" s="114" t="s">
        <v>20</v>
      </c>
      <c r="F3" s="115" t="s">
        <v>21</v>
      </c>
    </row>
    <row r="4" spans="1:6" ht="12.75">
      <c r="A4" s="116" t="s">
        <v>23</v>
      </c>
      <c r="B4" s="117"/>
      <c r="C4" s="118"/>
      <c r="D4" s="119" t="s">
        <v>24</v>
      </c>
      <c r="E4" s="120"/>
      <c r="F4" s="121"/>
    </row>
    <row r="5" spans="1:6" ht="12.75">
      <c r="A5" s="122" t="s">
        <v>25</v>
      </c>
      <c r="B5" s="117">
        <v>885200</v>
      </c>
      <c r="C5" s="123">
        <v>745875</v>
      </c>
      <c r="D5" s="124" t="s">
        <v>26</v>
      </c>
      <c r="E5" s="117">
        <v>2943251</v>
      </c>
      <c r="F5" s="125">
        <v>2825520.96</v>
      </c>
    </row>
    <row r="6" spans="1:6" ht="12.75">
      <c r="A6" s="122" t="s">
        <v>235</v>
      </c>
      <c r="B6" s="117">
        <v>-18450</v>
      </c>
      <c r="C6" s="123">
        <v>34200</v>
      </c>
      <c r="D6" s="124" t="s">
        <v>28</v>
      </c>
      <c r="E6" s="117"/>
      <c r="F6" s="125"/>
    </row>
    <row r="7" spans="1:6" ht="12.75">
      <c r="A7" s="122" t="s">
        <v>29</v>
      </c>
      <c r="B7" s="117">
        <v>293232</v>
      </c>
      <c r="C7" s="123">
        <v>264400</v>
      </c>
      <c r="D7" s="124" t="s">
        <v>30</v>
      </c>
      <c r="E7" s="117">
        <v>985030</v>
      </c>
      <c r="F7" s="125">
        <v>845320</v>
      </c>
    </row>
    <row r="8" spans="1:6" ht="12.75">
      <c r="A8" s="122" t="s">
        <v>27</v>
      </c>
      <c r="B8" s="117">
        <v>-17485</v>
      </c>
      <c r="C8" s="123">
        <v>-12800</v>
      </c>
      <c r="D8" s="124" t="s">
        <v>31</v>
      </c>
      <c r="E8" s="117">
        <v>813182</v>
      </c>
      <c r="F8" s="125">
        <f>1690319.28-F7</f>
        <v>844999.28</v>
      </c>
    </row>
    <row r="9" spans="1:6" ht="12.75">
      <c r="A9" s="122" t="s">
        <v>32</v>
      </c>
      <c r="B9" s="117">
        <v>460660</v>
      </c>
      <c r="C9" s="123">
        <v>412750.15</v>
      </c>
      <c r="D9" s="126" t="s">
        <v>33</v>
      </c>
      <c r="E9" s="127">
        <f>SUM(E5:E8)</f>
        <v>4741463</v>
      </c>
      <c r="F9" s="128">
        <f>SUM(F5:F8)</f>
        <v>4515840.24</v>
      </c>
    </row>
    <row r="10" spans="1:6" ht="12.75">
      <c r="A10" s="122" t="s">
        <v>34</v>
      </c>
      <c r="B10" s="117">
        <v>44418</v>
      </c>
      <c r="C10" s="123">
        <v>41800.4</v>
      </c>
      <c r="D10" s="124" t="s">
        <v>35</v>
      </c>
      <c r="E10" s="117">
        <v>28620</v>
      </c>
      <c r="F10" s="125">
        <v>27189</v>
      </c>
    </row>
    <row r="11" spans="1:6" ht="12.75">
      <c r="A11" s="122" t="s">
        <v>36</v>
      </c>
      <c r="B11" s="117">
        <v>1412816.34</v>
      </c>
      <c r="C11" s="123">
        <v>1317325.8</v>
      </c>
      <c r="D11" s="124" t="s">
        <v>37</v>
      </c>
      <c r="E11" s="117">
        <v>171632.44</v>
      </c>
      <c r="F11" s="125">
        <v>163050.82</v>
      </c>
    </row>
    <row r="12" spans="1:6" ht="12.75">
      <c r="A12" s="122" t="s">
        <v>38</v>
      </c>
      <c r="B12" s="117">
        <v>706408.17</v>
      </c>
      <c r="C12" s="123">
        <v>658662.9</v>
      </c>
      <c r="D12" s="124" t="s">
        <v>39</v>
      </c>
      <c r="E12" s="117"/>
      <c r="F12" s="125"/>
    </row>
    <row r="13" spans="1:6" ht="12.75">
      <c r="A13" s="122" t="s">
        <v>40</v>
      </c>
      <c r="B13" s="117"/>
      <c r="C13" s="123"/>
      <c r="D13" s="124" t="s">
        <v>179</v>
      </c>
      <c r="E13" s="117">
        <v>10000</v>
      </c>
      <c r="F13" s="125">
        <v>9500</v>
      </c>
    </row>
    <row r="14" spans="1:6" ht="12.75">
      <c r="A14" s="122" t="s">
        <v>42</v>
      </c>
      <c r="B14" s="117">
        <v>84000</v>
      </c>
      <c r="C14" s="123">
        <v>78642.15</v>
      </c>
      <c r="D14" s="124" t="s">
        <v>180</v>
      </c>
      <c r="E14" s="117"/>
      <c r="F14" s="125"/>
    </row>
    <row r="15" spans="1:6" ht="12.75">
      <c r="A15" s="122" t="s">
        <v>43</v>
      </c>
      <c r="B15" s="117">
        <v>130000</v>
      </c>
      <c r="C15" s="123">
        <v>131412</v>
      </c>
      <c r="D15" s="126" t="s">
        <v>44</v>
      </c>
      <c r="E15" s="127">
        <f>SUM(E10:E14)</f>
        <v>210252.44</v>
      </c>
      <c r="F15" s="128">
        <f>SUM(F10:F14)</f>
        <v>199739.82</v>
      </c>
    </row>
    <row r="16" spans="1:6" ht="12.75">
      <c r="A16" s="122" t="s">
        <v>45</v>
      </c>
      <c r="B16" s="117">
        <v>109400</v>
      </c>
      <c r="C16" s="123">
        <v>46069</v>
      </c>
      <c r="D16" s="129" t="s">
        <v>46</v>
      </c>
      <c r="E16" s="130">
        <f>E15+E9</f>
        <v>4951715.44</v>
      </c>
      <c r="F16" s="131">
        <f>F15+F9</f>
        <v>4715580.0600000005</v>
      </c>
    </row>
    <row r="17" spans="1:6" ht="12.75">
      <c r="A17" s="122" t="s">
        <v>47</v>
      </c>
      <c r="B17" s="117">
        <v>62100</v>
      </c>
      <c r="C17" s="123">
        <v>49357.85</v>
      </c>
      <c r="D17" s="124"/>
      <c r="E17" s="117"/>
      <c r="F17" s="125"/>
    </row>
    <row r="18" spans="1:6" ht="12.75">
      <c r="A18" s="122" t="s">
        <v>48</v>
      </c>
      <c r="B18" s="117">
        <v>31210</v>
      </c>
      <c r="C18" s="123">
        <v>34331</v>
      </c>
      <c r="D18" s="124"/>
      <c r="E18" s="117"/>
      <c r="F18" s="125"/>
    </row>
    <row r="19" spans="1:6" ht="12.75">
      <c r="A19" s="132" t="s">
        <v>49</v>
      </c>
      <c r="B19" s="130">
        <f>SUM(B5:B18)</f>
        <v>4183509.51</v>
      </c>
      <c r="C19" s="133">
        <f>SUM(C5:C18)</f>
        <v>3802026.2499999995</v>
      </c>
      <c r="D19" s="124"/>
      <c r="E19" s="117"/>
      <c r="F19" s="125"/>
    </row>
    <row r="20" spans="1:6" ht="12.75">
      <c r="A20" s="134" t="s">
        <v>50</v>
      </c>
      <c r="B20" s="135"/>
      <c r="C20" s="135"/>
      <c r="D20" s="136" t="s">
        <v>50</v>
      </c>
      <c r="E20" s="135"/>
      <c r="F20" s="137"/>
    </row>
    <row r="21" spans="1:6" ht="12.75">
      <c r="A21" s="116" t="s">
        <v>51</v>
      </c>
      <c r="B21" s="117"/>
      <c r="C21" s="123"/>
      <c r="D21" s="119" t="s">
        <v>52</v>
      </c>
      <c r="E21" s="117"/>
      <c r="F21" s="125"/>
    </row>
    <row r="22" spans="1:6" ht="12.75">
      <c r="A22" s="122" t="s">
        <v>40</v>
      </c>
      <c r="B22" s="117">
        <v>36012</v>
      </c>
      <c r="C22" s="123">
        <v>29940</v>
      </c>
      <c r="D22" s="124" t="s">
        <v>53</v>
      </c>
      <c r="E22" s="117"/>
      <c r="F22" s="125"/>
    </row>
    <row r="23" spans="1:6" ht="12.75">
      <c r="A23" s="122" t="s">
        <v>54</v>
      </c>
      <c r="B23" s="117">
        <v>80624</v>
      </c>
      <c r="C23" s="123">
        <v>81030</v>
      </c>
      <c r="D23" s="124" t="s">
        <v>181</v>
      </c>
      <c r="E23" s="117"/>
      <c r="F23" s="125"/>
    </row>
    <row r="24" spans="1:6" ht="12.75">
      <c r="A24" s="122" t="s">
        <v>55</v>
      </c>
      <c r="B24" s="117">
        <v>8000</v>
      </c>
      <c r="C24" s="123">
        <v>4040.1</v>
      </c>
      <c r="D24" s="124" t="s">
        <v>56</v>
      </c>
      <c r="E24" s="117">
        <v>64812</v>
      </c>
      <c r="F24" s="125">
        <v>61571.4</v>
      </c>
    </row>
    <row r="25" spans="1:6" ht="12.75">
      <c r="A25" s="122" t="s">
        <v>204</v>
      </c>
      <c r="B25" s="117">
        <v>14860</v>
      </c>
      <c r="C25" s="123">
        <v>16116.14</v>
      </c>
      <c r="D25" s="124" t="s">
        <v>41</v>
      </c>
      <c r="E25" s="117">
        <v>12200</v>
      </c>
      <c r="F25" s="125">
        <v>11000</v>
      </c>
    </row>
    <row r="26" spans="1:6" ht="12.75">
      <c r="A26" s="132" t="s">
        <v>57</v>
      </c>
      <c r="B26" s="130">
        <f>SUM(B22:B25)</f>
        <v>139496</v>
      </c>
      <c r="C26" s="133">
        <f>SUM(C22:C25)</f>
        <v>131126.24</v>
      </c>
      <c r="D26" s="124" t="s">
        <v>58</v>
      </c>
      <c r="E26" s="117">
        <v>9164</v>
      </c>
      <c r="F26" s="125">
        <v>795</v>
      </c>
    </row>
    <row r="27" spans="1:6" ht="12.75">
      <c r="A27" s="116" t="s">
        <v>59</v>
      </c>
      <c r="B27" s="117"/>
      <c r="C27" s="123"/>
      <c r="D27" s="124" t="s">
        <v>205</v>
      </c>
      <c r="E27" s="117">
        <v>10000</v>
      </c>
      <c r="F27" s="125">
        <v>18000.8</v>
      </c>
    </row>
    <row r="28" spans="1:6" ht="12.75">
      <c r="A28" s="122" t="s">
        <v>60</v>
      </c>
      <c r="B28" s="117">
        <v>8084</v>
      </c>
      <c r="C28" s="123">
        <v>53220</v>
      </c>
      <c r="D28" s="129" t="s">
        <v>57</v>
      </c>
      <c r="E28" s="130">
        <f>SUM(E23:E27)</f>
        <v>96176</v>
      </c>
      <c r="F28" s="131">
        <f>SUM(F24:F27)</f>
        <v>91367.2</v>
      </c>
    </row>
    <row r="29" spans="1:6" ht="12.75">
      <c r="A29" s="122" t="s">
        <v>61</v>
      </c>
      <c r="B29" s="117">
        <v>155280</v>
      </c>
      <c r="C29" s="123">
        <v>93780.1</v>
      </c>
      <c r="D29" s="119" t="s">
        <v>62</v>
      </c>
      <c r="E29" s="117"/>
      <c r="F29" s="125"/>
    </row>
    <row r="30" spans="1:6" ht="12.75">
      <c r="A30" s="122" t="s">
        <v>40</v>
      </c>
      <c r="B30" s="117">
        <v>8225</v>
      </c>
      <c r="C30" s="123">
        <v>7430</v>
      </c>
      <c r="D30" s="124" t="s">
        <v>60</v>
      </c>
      <c r="E30" s="117">
        <v>8000</v>
      </c>
      <c r="F30" s="125">
        <v>7360</v>
      </c>
    </row>
    <row r="31" spans="1:6" ht="12.75">
      <c r="A31" s="132" t="s">
        <v>63</v>
      </c>
      <c r="B31" s="130">
        <f>SUM(B28:B30)</f>
        <v>171589</v>
      </c>
      <c r="C31" s="133">
        <f>SUM(C28:C30)</f>
        <v>154430.1</v>
      </c>
      <c r="D31" s="124" t="s">
        <v>64</v>
      </c>
      <c r="E31" s="117">
        <v>260775.07</v>
      </c>
      <c r="F31" s="125">
        <v>56088.13</v>
      </c>
    </row>
    <row r="32" spans="1:6" ht="12.75">
      <c r="A32" s="134" t="s">
        <v>65</v>
      </c>
      <c r="B32" s="130">
        <v>122120</v>
      </c>
      <c r="C32" s="133">
        <v>97696</v>
      </c>
      <c r="D32" s="124" t="s">
        <v>66</v>
      </c>
      <c r="E32" s="117">
        <v>12000</v>
      </c>
      <c r="F32" s="125">
        <v>10800</v>
      </c>
    </row>
    <row r="33" spans="1:6" ht="12.75">
      <c r="A33" s="134" t="s">
        <v>67</v>
      </c>
      <c r="B33" s="130">
        <v>341720</v>
      </c>
      <c r="C33" s="133">
        <v>310965.2</v>
      </c>
      <c r="D33" s="129" t="s">
        <v>63</v>
      </c>
      <c r="E33" s="130">
        <f>SUM(E30:E32)</f>
        <v>280775.07</v>
      </c>
      <c r="F33" s="131">
        <f>SUM(F30:F32)</f>
        <v>74248.13</v>
      </c>
    </row>
    <row r="34" spans="1:6" ht="12.75">
      <c r="A34" s="122"/>
      <c r="B34" s="117"/>
      <c r="C34" s="123"/>
      <c r="D34" s="124"/>
      <c r="E34" s="117"/>
      <c r="F34" s="125"/>
    </row>
    <row r="35" spans="1:6" ht="12.75">
      <c r="A35" s="138" t="s">
        <v>68</v>
      </c>
      <c r="B35" s="127">
        <f>B33+B32+B31+B26+B20+B19</f>
        <v>4958434.51</v>
      </c>
      <c r="C35" s="139">
        <f>C33+C32+C31+C26+C20+C19</f>
        <v>4496243.789999999</v>
      </c>
      <c r="D35" s="140" t="s">
        <v>69</v>
      </c>
      <c r="E35" s="127">
        <f>E33+E28+E20+E16</f>
        <v>5328666.510000001</v>
      </c>
      <c r="F35" s="128">
        <f>F33+F28+F20+F16</f>
        <v>4881195.390000001</v>
      </c>
    </row>
    <row r="36" spans="1:6" ht="13.5" thickBot="1">
      <c r="A36" s="141" t="s">
        <v>70</v>
      </c>
      <c r="B36" s="142">
        <f>E35-B35</f>
        <v>370232.00000000093</v>
      </c>
      <c r="C36" s="142">
        <f>F35-C35</f>
        <v>384951.6000000015</v>
      </c>
      <c r="D36" s="143" t="s">
        <v>71</v>
      </c>
      <c r="E36" s="144"/>
      <c r="F36" s="145"/>
    </row>
    <row r="37" spans="1:6" ht="16.5" thickBot="1">
      <c r="A37" s="146" t="s">
        <v>72</v>
      </c>
      <c r="B37" s="147">
        <f>B35+B36</f>
        <v>5328666.510000001</v>
      </c>
      <c r="C37" s="148">
        <f>C35+C36</f>
        <v>4881195.390000001</v>
      </c>
      <c r="D37" s="149" t="s">
        <v>72</v>
      </c>
      <c r="E37" s="150">
        <f>E36+E35</f>
        <v>5328666.510000001</v>
      </c>
      <c r="F37" s="151">
        <f>F36+F35</f>
        <v>4881195.390000001</v>
      </c>
    </row>
    <row r="38" spans="2:3" ht="13.5" thickTop="1">
      <c r="B38"/>
      <c r="C38"/>
    </row>
    <row r="39" spans="1:3" ht="12.75">
      <c r="A39" s="158" t="s">
        <v>302</v>
      </c>
      <c r="B39" s="182" t="s">
        <v>166</v>
      </c>
      <c r="C39" s="183">
        <v>4115000</v>
      </c>
    </row>
    <row r="40" spans="2:3" ht="12.75">
      <c r="B40" s="182" t="s">
        <v>311</v>
      </c>
      <c r="C40" s="183">
        <v>110000</v>
      </c>
    </row>
    <row r="41" spans="2:7" ht="12.75">
      <c r="B41" s="182" t="s">
        <v>313</v>
      </c>
      <c r="C41" s="183">
        <v>100000</v>
      </c>
      <c r="D41" s="68"/>
      <c r="G41" s="69"/>
    </row>
    <row r="42" spans="4:7" ht="12.75">
      <c r="D42" s="68"/>
      <c r="G42" s="69"/>
    </row>
    <row r="43" spans="4:7" ht="12.75">
      <c r="D43" s="68"/>
      <c r="G43" s="69"/>
    </row>
    <row r="44" spans="2:7" ht="12.75">
      <c r="B44"/>
      <c r="C44"/>
      <c r="G44" s="69"/>
    </row>
    <row r="45" ht="12.75">
      <c r="C45"/>
    </row>
    <row r="46" ht="12.75">
      <c r="C46"/>
    </row>
    <row r="47" ht="12.75"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</sheetData>
  <sheetProtection/>
  <mergeCells count="1">
    <mergeCell ref="A1:F1"/>
  </mergeCells>
  <printOptions horizontalCentered="1" verticalCentered="1"/>
  <pageMargins left="0.7874015748031497" right="0.7874015748031497" top="0.4724409448818898" bottom="0.5118110236220472" header="0.5118110236220472" footer="0.5118110236220472"/>
  <pageSetup fitToHeight="1" fitToWidth="1" horizontalDpi="300" verticalDpi="300" orientation="landscape" paperSize="9" scale="77" r:id="rId1"/>
  <headerFooter alignWithMargins="0">
    <oddHeader>&amp;C&amp;"Arial,Gras"COMPTE DE RESULTAT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29.8515625" style="0" customWidth="1"/>
    <col min="2" max="2" width="17.57421875" style="0" customWidth="1"/>
    <col min="3" max="3" width="15.57421875" style="0" customWidth="1"/>
    <col min="4" max="4" width="12.28125" style="0" bestFit="1" customWidth="1"/>
  </cols>
  <sheetData>
    <row r="1" spans="1:5" ht="23.25">
      <c r="A1" s="235" t="s">
        <v>416</v>
      </c>
      <c r="B1" s="235"/>
      <c r="C1" s="235"/>
      <c r="D1" s="235"/>
      <c r="E1" s="235"/>
    </row>
    <row r="2" spans="1:5" ht="12.75">
      <c r="A2" s="70"/>
      <c r="B2" s="70"/>
      <c r="C2" s="70"/>
      <c r="D2" s="70"/>
      <c r="E2" s="70"/>
    </row>
    <row r="3" spans="1:5" ht="12.75">
      <c r="A3" s="70"/>
      <c r="B3" s="70"/>
      <c r="C3" s="70"/>
      <c r="D3" s="70"/>
      <c r="E3" s="70"/>
    </row>
    <row r="4" spans="1:5" ht="12.75">
      <c r="A4" s="70"/>
      <c r="B4" s="70"/>
      <c r="C4" s="70"/>
      <c r="D4" s="70"/>
      <c r="E4" s="70"/>
    </row>
    <row r="5" ht="13.5" thickBot="1"/>
    <row r="6" spans="1:5" ht="12.75">
      <c r="A6" s="233" t="s">
        <v>214</v>
      </c>
      <c r="B6" s="234"/>
      <c r="C6" s="87" t="s">
        <v>212</v>
      </c>
      <c r="D6" s="88" t="s">
        <v>213</v>
      </c>
      <c r="E6" s="89" t="s">
        <v>215</v>
      </c>
    </row>
    <row r="7" spans="1:5" ht="12.75">
      <c r="A7" s="77" t="s">
        <v>24</v>
      </c>
      <c r="B7" s="4"/>
      <c r="C7" s="73">
        <f>CPTERESULTAT!F16</f>
        <v>4715580.0600000005</v>
      </c>
      <c r="D7" s="71">
        <f>CPTERESULTAT!E16</f>
        <v>4951715.44</v>
      </c>
      <c r="E7" s="75">
        <f aca="true" t="shared" si="0" ref="E7:E12">(D7-C7)/C7</f>
        <v>0.05007557437165002</v>
      </c>
    </row>
    <row r="8" spans="1:5" ht="12.75">
      <c r="A8" s="77" t="s">
        <v>52</v>
      </c>
      <c r="B8" s="4"/>
      <c r="C8" s="73">
        <f>CPTERESULTAT!F28</f>
        <v>91367.2</v>
      </c>
      <c r="D8" s="71">
        <f>CPTERESULTAT!E28</f>
        <v>96176</v>
      </c>
      <c r="E8" s="75">
        <f t="shared" si="0"/>
        <v>0.05263157894736845</v>
      </c>
    </row>
    <row r="9" spans="1:5" ht="12.75">
      <c r="A9" s="78" t="s">
        <v>211</v>
      </c>
      <c r="B9" s="79"/>
      <c r="C9" s="80">
        <f>CPTERESULTAT!F33</f>
        <v>74248.13</v>
      </c>
      <c r="D9" s="81">
        <f>CPTERESULTAT!E33</f>
        <v>280775.07</v>
      </c>
      <c r="E9" s="82">
        <f t="shared" si="0"/>
        <v>2.7815776639761833</v>
      </c>
    </row>
    <row r="10" spans="1:5" ht="12.75">
      <c r="A10" s="83" t="s">
        <v>23</v>
      </c>
      <c r="B10" s="84"/>
      <c r="C10" s="73">
        <f>-CPTERESULTAT!C19</f>
        <v>-3802026.2499999995</v>
      </c>
      <c r="D10" s="71">
        <f>-CPTERESULTAT!B19</f>
        <v>-4183509.51</v>
      </c>
      <c r="E10" s="75">
        <f t="shared" si="0"/>
        <v>0.10033682960500347</v>
      </c>
    </row>
    <row r="11" spans="1:5" ht="12.75">
      <c r="A11" s="83" t="s">
        <v>51</v>
      </c>
      <c r="B11" s="84"/>
      <c r="C11" s="73">
        <f>-CPTERESULTAT!C26</f>
        <v>-131126.24</v>
      </c>
      <c r="D11" s="71">
        <f>-CPTERESULTAT!B26</f>
        <v>-139496</v>
      </c>
      <c r="E11" s="75">
        <f t="shared" si="0"/>
        <v>0.06382978723404263</v>
      </c>
    </row>
    <row r="12" spans="1:5" ht="13.5" thickBot="1">
      <c r="A12" s="85" t="s">
        <v>59</v>
      </c>
      <c r="B12" s="86"/>
      <c r="C12" s="74">
        <f>-CPTERESULTAT!C31</f>
        <v>-154430.1</v>
      </c>
      <c r="D12" s="72">
        <f>-CPTERESULTAT!B31</f>
        <v>-171589</v>
      </c>
      <c r="E12" s="76">
        <f t="shared" si="0"/>
        <v>0.11111111111111106</v>
      </c>
    </row>
    <row r="16" ht="12.75">
      <c r="A16" s="225" t="s">
        <v>216</v>
      </c>
    </row>
    <row r="17" ht="13.5" thickBot="1">
      <c r="A17" s="90"/>
    </row>
    <row r="18" spans="1:5" ht="12.75">
      <c r="A18" s="91"/>
      <c r="B18" s="92"/>
      <c r="C18" s="92"/>
      <c r="D18" s="92"/>
      <c r="E18" s="93"/>
    </row>
    <row r="19" spans="1:5" ht="12.75">
      <c r="A19" s="94" t="s">
        <v>221</v>
      </c>
      <c r="B19" s="95"/>
      <c r="C19" s="95"/>
      <c r="D19" s="96">
        <f>(CPTERESULTAT!B36-CPTERESULTAT!C36)/CPTERESULTAT!C36</f>
        <v>-0.03823753427703769</v>
      </c>
      <c r="E19" s="97"/>
    </row>
    <row r="20" spans="1:5" ht="12.75">
      <c r="A20" s="98"/>
      <c r="B20" s="95"/>
      <c r="C20" s="95"/>
      <c r="D20" s="95"/>
      <c r="E20" s="97"/>
    </row>
    <row r="21" spans="1:5" ht="12.75">
      <c r="A21" s="94" t="s">
        <v>224</v>
      </c>
      <c r="B21" s="95"/>
      <c r="C21" s="95"/>
      <c r="D21" s="95"/>
      <c r="E21" s="97"/>
    </row>
    <row r="22" spans="1:5" ht="12.75">
      <c r="A22" s="98" t="s">
        <v>217</v>
      </c>
      <c r="B22" s="95"/>
      <c r="C22" s="95"/>
      <c r="D22" s="95"/>
      <c r="E22" s="97"/>
    </row>
    <row r="23" spans="1:5" ht="12.75">
      <c r="A23" s="98" t="s">
        <v>218</v>
      </c>
      <c r="B23" s="99">
        <f>CPTERESULTAT!B36</f>
        <v>370232.00000000093</v>
      </c>
      <c r="C23" s="95"/>
      <c r="D23" s="95"/>
      <c r="E23" s="97"/>
    </row>
    <row r="24" spans="1:5" ht="12.75">
      <c r="A24" s="98" t="s">
        <v>219</v>
      </c>
      <c r="B24" s="100">
        <f>(D9-C9)</f>
        <v>206526.94</v>
      </c>
      <c r="C24" s="95"/>
      <c r="D24" s="95"/>
      <c r="E24" s="97"/>
    </row>
    <row r="25" spans="1:5" ht="12.75">
      <c r="A25" s="101" t="s">
        <v>220</v>
      </c>
      <c r="B25" s="102">
        <f>B23-B24</f>
        <v>163705.06000000093</v>
      </c>
      <c r="C25" s="103"/>
      <c r="D25" s="95"/>
      <c r="E25" s="97"/>
    </row>
    <row r="26" spans="1:5" ht="12.75">
      <c r="A26" s="101" t="s">
        <v>223</v>
      </c>
      <c r="B26" s="95"/>
      <c r="C26" s="95"/>
      <c r="D26" s="107">
        <f>(B25-CPTERESULTAT!C36)/CPTERESULTAT!C36</f>
        <v>-0.5747385905137158</v>
      </c>
      <c r="E26" s="60" t="s">
        <v>222</v>
      </c>
    </row>
    <row r="27" spans="1:5" ht="13.5" thickBot="1">
      <c r="A27" s="104"/>
      <c r="B27" s="105"/>
      <c r="C27" s="105"/>
      <c r="D27" s="105"/>
      <c r="E27" s="106"/>
    </row>
    <row r="30" spans="1:5" ht="20.25">
      <c r="A30" s="236" t="s">
        <v>417</v>
      </c>
      <c r="B30" s="236"/>
      <c r="C30" s="236"/>
      <c r="D30" s="236"/>
      <c r="E30" s="236"/>
    </row>
    <row r="32" ht="12.75">
      <c r="A32" s="180" t="s">
        <v>418</v>
      </c>
    </row>
    <row r="33" ht="7.5" customHeight="1"/>
    <row r="34" ht="12.75">
      <c r="A34" s="180" t="s">
        <v>422</v>
      </c>
    </row>
    <row r="35" ht="12.75">
      <c r="A35" s="158" t="s">
        <v>423</v>
      </c>
    </row>
  </sheetData>
  <sheetProtection/>
  <mergeCells count="3">
    <mergeCell ref="A6:B6"/>
    <mergeCell ref="A1:E1"/>
    <mergeCell ref="A30:E30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portrait" paperSize="9" scale="105" r:id="rId1"/>
  <headerFooter alignWithMargins="0">
    <oddHeader>&amp;C
</oddHeader>
    <oddFooter>&amp;R&amp;"Arial,Gras italique"Evolution  Résultats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">
      <selection activeCell="A46" sqref="A46"/>
    </sheetView>
  </sheetViews>
  <sheetFormatPr defaultColWidth="11.421875" defaultRowHeight="12.75"/>
  <cols>
    <col min="2" max="2" width="21.140625" style="0" customWidth="1"/>
    <col min="3" max="3" width="47.421875" style="0" customWidth="1"/>
    <col min="4" max="4" width="31.7109375" style="0" customWidth="1"/>
    <col min="5" max="5" width="60.28125" style="0" customWidth="1"/>
    <col min="6" max="7" width="11.7109375" style="0" bestFit="1" customWidth="1"/>
  </cols>
  <sheetData>
    <row r="1" spans="1:5" ht="18.75" customHeight="1">
      <c r="A1" s="237" t="s">
        <v>424</v>
      </c>
      <c r="B1" s="237"/>
      <c r="C1" s="237"/>
      <c r="D1" s="237"/>
      <c r="E1" s="237"/>
    </row>
    <row r="3" spans="1:6" ht="15.75">
      <c r="A3" s="51" t="s">
        <v>73</v>
      </c>
      <c r="B3" s="51" t="s">
        <v>74</v>
      </c>
      <c r="C3" s="51" t="s">
        <v>75</v>
      </c>
      <c r="D3" s="51" t="s">
        <v>76</v>
      </c>
      <c r="E3" s="51" t="s">
        <v>77</v>
      </c>
      <c r="F3" s="1"/>
    </row>
    <row r="4" spans="1:5" ht="12.75">
      <c r="A4" s="6"/>
      <c r="B4" s="6"/>
      <c r="C4" s="9"/>
      <c r="D4" s="6"/>
      <c r="E4" s="21" t="s">
        <v>78</v>
      </c>
    </row>
    <row r="5" spans="1:6" ht="15.75">
      <c r="A5" s="13">
        <v>1</v>
      </c>
      <c r="B5" s="7" t="s">
        <v>79</v>
      </c>
      <c r="C5" s="10" t="s">
        <v>80</v>
      </c>
      <c r="D5" s="3">
        <f>CPTERESULTAT!E5-(CPTERESULTAT!B5+CPTERESULTAT!B6)</f>
        <v>2076501</v>
      </c>
      <c r="E5" s="22" t="s">
        <v>81</v>
      </c>
      <c r="F5" s="2"/>
    </row>
    <row r="6" spans="1:5" ht="12.75">
      <c r="A6" s="12"/>
      <c r="B6" s="7" t="s">
        <v>82</v>
      </c>
      <c r="C6" s="10" t="s">
        <v>83</v>
      </c>
      <c r="D6" s="10" t="s">
        <v>236</v>
      </c>
      <c r="E6" s="15" t="s">
        <v>84</v>
      </c>
    </row>
    <row r="7" spans="1:7" ht="12.75">
      <c r="A7" s="8"/>
      <c r="B7" s="8"/>
      <c r="C7" s="11"/>
      <c r="D7" s="11" t="s">
        <v>238</v>
      </c>
      <c r="E7" s="8"/>
      <c r="G7" s="2"/>
    </row>
    <row r="8" spans="1:5" ht="12.75">
      <c r="A8" s="6"/>
      <c r="B8" s="6"/>
      <c r="C8" s="9"/>
      <c r="D8" s="6"/>
      <c r="E8" s="21" t="s">
        <v>85</v>
      </c>
    </row>
    <row r="9" spans="1:6" ht="15.75">
      <c r="A9" s="13">
        <v>2</v>
      </c>
      <c r="B9" s="7" t="s">
        <v>86</v>
      </c>
      <c r="C9" s="10" t="s">
        <v>87</v>
      </c>
      <c r="D9" s="3">
        <f>(CPTERESULTAT!E7+CPTERESULTAT!E8)+CPTERESULTAT!E10+CPTERESULTAT!E11</f>
        <v>1998464.44</v>
      </c>
      <c r="E9" s="15" t="s">
        <v>385</v>
      </c>
      <c r="F9" s="2"/>
    </row>
    <row r="10" spans="1:5" ht="12.75">
      <c r="A10" s="12"/>
      <c r="B10" s="7" t="s">
        <v>88</v>
      </c>
      <c r="C10" s="14" t="s">
        <v>89</v>
      </c>
      <c r="D10" s="10" t="s">
        <v>285</v>
      </c>
      <c r="E10" s="12"/>
    </row>
    <row r="11" spans="1:7" ht="12.75">
      <c r="A11" s="8"/>
      <c r="B11" s="8"/>
      <c r="C11" s="11"/>
      <c r="D11" s="8"/>
      <c r="E11" s="8"/>
      <c r="G11" s="2"/>
    </row>
    <row r="12" spans="1:7" ht="12.75">
      <c r="A12" s="6"/>
      <c r="B12" s="6"/>
      <c r="C12" s="9"/>
      <c r="D12" s="6"/>
      <c r="E12" s="21" t="s">
        <v>387</v>
      </c>
      <c r="G12" s="2"/>
    </row>
    <row r="13" spans="1:5" ht="15.75">
      <c r="A13" s="13">
        <v>3</v>
      </c>
      <c r="B13" s="7" t="s">
        <v>91</v>
      </c>
      <c r="C13" s="10" t="s">
        <v>92</v>
      </c>
      <c r="D13" s="3">
        <f>D5+D9-(CPTERESULTAT!B7+CPTERESULTAT!B8+CPTERESULTAT!B9)</f>
        <v>3338558.44</v>
      </c>
      <c r="E13" s="22" t="s">
        <v>93</v>
      </c>
    </row>
    <row r="14" spans="1:5" ht="12.75">
      <c r="A14" s="12"/>
      <c r="B14" s="12"/>
      <c r="C14" s="17" t="s">
        <v>94</v>
      </c>
      <c r="D14" s="15" t="s">
        <v>95</v>
      </c>
      <c r="E14" s="22" t="s">
        <v>96</v>
      </c>
    </row>
    <row r="15" spans="1:5" ht="12.75">
      <c r="A15" s="12"/>
      <c r="B15" s="12"/>
      <c r="C15" s="10"/>
      <c r="D15" s="152" t="s">
        <v>237</v>
      </c>
      <c r="E15" s="22" t="s">
        <v>97</v>
      </c>
    </row>
    <row r="16" spans="1:5" ht="12.75">
      <c r="A16" s="12"/>
      <c r="B16" s="12"/>
      <c r="C16" s="10"/>
      <c r="D16" s="15" t="s">
        <v>239</v>
      </c>
      <c r="E16" s="22" t="s">
        <v>98</v>
      </c>
    </row>
    <row r="17" spans="1:5" ht="12.75">
      <c r="A17" s="12"/>
      <c r="B17" s="12"/>
      <c r="C17" s="10"/>
      <c r="D17" s="16"/>
      <c r="E17" s="22" t="s">
        <v>99</v>
      </c>
    </row>
    <row r="18" spans="1:5" ht="12.75">
      <c r="A18" s="12"/>
      <c r="B18" s="12"/>
      <c r="C18" s="10"/>
      <c r="D18" s="16"/>
      <c r="E18" s="25" t="s">
        <v>100</v>
      </c>
    </row>
    <row r="19" spans="1:5" ht="12.75">
      <c r="A19" s="6"/>
      <c r="B19" s="6"/>
      <c r="C19" s="9"/>
      <c r="D19" s="6"/>
      <c r="E19" s="26" t="s">
        <v>101</v>
      </c>
    </row>
    <row r="20" spans="1:5" ht="15.75">
      <c r="A20" s="13">
        <v>4</v>
      </c>
      <c r="B20" s="7" t="s">
        <v>102</v>
      </c>
      <c r="C20" s="10" t="s">
        <v>103</v>
      </c>
      <c r="D20" s="3">
        <f>D13-CPTERESULTAT!B10-(CPTERESULTAT!B11+CPTERESULTAT!B12)</f>
        <v>1174915.9299999997</v>
      </c>
      <c r="E20" s="27" t="s">
        <v>104</v>
      </c>
    </row>
    <row r="21" spans="1:5" ht="12.75">
      <c r="A21" s="12"/>
      <c r="B21" s="7" t="s">
        <v>105</v>
      </c>
      <c r="C21" s="17" t="s">
        <v>106</v>
      </c>
      <c r="D21" s="10" t="s">
        <v>107</v>
      </c>
      <c r="E21" s="15" t="s">
        <v>108</v>
      </c>
    </row>
    <row r="22" spans="1:5" ht="12.75">
      <c r="A22" s="12"/>
      <c r="B22" s="7"/>
      <c r="C22" s="17"/>
      <c r="D22" s="16" t="s">
        <v>109</v>
      </c>
      <c r="E22" s="15" t="s">
        <v>178</v>
      </c>
    </row>
    <row r="23" spans="1:5" ht="12.75">
      <c r="A23" s="8"/>
      <c r="B23" s="8"/>
      <c r="C23" s="11"/>
      <c r="D23" s="18"/>
      <c r="E23" s="25" t="s">
        <v>177</v>
      </c>
    </row>
    <row r="24" spans="1:5" ht="12.75">
      <c r="A24" s="6"/>
      <c r="B24" s="6"/>
      <c r="C24" s="9"/>
      <c r="D24" s="6"/>
      <c r="E24" s="26"/>
    </row>
    <row r="25" spans="1:5" ht="15.75">
      <c r="A25" s="13">
        <v>5</v>
      </c>
      <c r="B25" s="7" t="s">
        <v>110</v>
      </c>
      <c r="C25" s="10" t="s">
        <v>111</v>
      </c>
      <c r="D25" s="3">
        <f>D20+CPTERESULTAT!E13+CPTERESULTAT!E14-SUM(CPTERESULTAT!B14:B17)-CPTERESULTAT!B18</f>
        <v>768205.9299999997</v>
      </c>
      <c r="E25" s="27" t="s">
        <v>112</v>
      </c>
    </row>
    <row r="26" spans="1:5" ht="12.75">
      <c r="A26" s="12"/>
      <c r="B26" s="7" t="s">
        <v>113</v>
      </c>
      <c r="C26" s="17" t="s">
        <v>114</v>
      </c>
      <c r="D26" s="10" t="s">
        <v>115</v>
      </c>
      <c r="E26" s="27" t="s">
        <v>116</v>
      </c>
    </row>
    <row r="27" spans="1:5" ht="12.75">
      <c r="A27" s="12"/>
      <c r="B27" s="12"/>
      <c r="C27" s="19" t="s">
        <v>117</v>
      </c>
      <c r="D27" s="12"/>
      <c r="E27" s="15" t="s">
        <v>176</v>
      </c>
    </row>
    <row r="28" spans="1:5" ht="12.75">
      <c r="A28" s="12"/>
      <c r="B28" s="12"/>
      <c r="C28" s="19" t="s">
        <v>118</v>
      </c>
      <c r="D28" s="12"/>
      <c r="E28" s="15" t="s">
        <v>386</v>
      </c>
    </row>
    <row r="29" spans="1:5" ht="12.75">
      <c r="A29" s="8"/>
      <c r="B29" s="8"/>
      <c r="C29" s="11"/>
      <c r="D29" s="8"/>
      <c r="E29" s="28"/>
    </row>
    <row r="30" spans="1:5" ht="12.75">
      <c r="A30" s="6"/>
      <c r="B30" s="6"/>
      <c r="C30" s="9"/>
      <c r="D30" s="6"/>
      <c r="E30" s="26"/>
    </row>
    <row r="31" spans="1:5" ht="15.75">
      <c r="A31" s="13">
        <v>6</v>
      </c>
      <c r="B31" s="7" t="s">
        <v>119</v>
      </c>
      <c r="C31" s="10" t="s">
        <v>120</v>
      </c>
      <c r="D31" s="3">
        <f>D25+CPTERESULTAT!E28-CPTERESULTAT!B26</f>
        <v>724885.9299999997</v>
      </c>
      <c r="E31" s="27" t="s">
        <v>121</v>
      </c>
    </row>
    <row r="32" spans="1:5" ht="12.75">
      <c r="A32" s="12"/>
      <c r="B32" s="7" t="s">
        <v>122</v>
      </c>
      <c r="C32" s="17" t="s">
        <v>123</v>
      </c>
      <c r="D32" s="10" t="s">
        <v>124</v>
      </c>
      <c r="E32" s="27" t="s">
        <v>125</v>
      </c>
    </row>
    <row r="33" spans="1:5" ht="12.75">
      <c r="A33" s="8"/>
      <c r="B33" s="8"/>
      <c r="C33" s="11"/>
      <c r="D33" s="8"/>
      <c r="E33" s="25" t="s">
        <v>126</v>
      </c>
    </row>
    <row r="34" spans="1:5" ht="12.75">
      <c r="A34" s="6"/>
      <c r="B34" s="6"/>
      <c r="C34" s="9"/>
      <c r="D34" s="6"/>
      <c r="E34" s="26"/>
    </row>
    <row r="35" spans="1:5" ht="15.75">
      <c r="A35" s="20" t="s">
        <v>127</v>
      </c>
      <c r="B35" s="7" t="s">
        <v>128</v>
      </c>
      <c r="C35" s="19" t="s">
        <v>129</v>
      </c>
      <c r="D35" s="3">
        <f>CPTERESULTAT!E33-CPTERESULTAT!B31</f>
        <v>109186.07</v>
      </c>
      <c r="E35" s="27" t="s">
        <v>130</v>
      </c>
    </row>
    <row r="36" spans="1:5" ht="12.75">
      <c r="A36" s="12"/>
      <c r="B36" s="12"/>
      <c r="C36" s="10"/>
      <c r="D36" s="10" t="s">
        <v>131</v>
      </c>
      <c r="E36" s="27" t="s">
        <v>132</v>
      </c>
    </row>
    <row r="37" spans="1:5" ht="12.75">
      <c r="A37" s="8"/>
      <c r="B37" s="8"/>
      <c r="C37" s="11"/>
      <c r="D37" s="8"/>
      <c r="E37" s="25" t="s">
        <v>133</v>
      </c>
    </row>
    <row r="38" spans="1:5" ht="12.75">
      <c r="A38" s="6"/>
      <c r="B38" s="6"/>
      <c r="C38" s="9"/>
      <c r="D38" s="6"/>
      <c r="E38" s="26"/>
    </row>
    <row r="39" spans="1:5" ht="15.75">
      <c r="A39" s="13">
        <v>8</v>
      </c>
      <c r="B39" s="7" t="s">
        <v>134</v>
      </c>
      <c r="C39" s="10" t="s">
        <v>135</v>
      </c>
      <c r="D39" s="3">
        <f>D31+D35-CPTERESULTAT!B32-CPTERESULTAT!B33</f>
        <v>370231.99999999977</v>
      </c>
      <c r="E39" s="27" t="s">
        <v>136</v>
      </c>
    </row>
    <row r="40" spans="1:5" ht="12.75">
      <c r="A40" s="12"/>
      <c r="B40" s="12"/>
      <c r="C40" s="17" t="s">
        <v>137</v>
      </c>
      <c r="D40" s="10" t="s">
        <v>233</v>
      </c>
      <c r="E40" s="27" t="s">
        <v>138</v>
      </c>
    </row>
    <row r="41" spans="1:5" ht="12.75">
      <c r="A41" s="12"/>
      <c r="B41" s="12"/>
      <c r="C41" s="10"/>
      <c r="D41" s="14" t="s">
        <v>139</v>
      </c>
      <c r="E41" s="15" t="s">
        <v>140</v>
      </c>
    </row>
    <row r="42" spans="1:5" ht="12.75">
      <c r="A42" s="8"/>
      <c r="B42" s="8"/>
      <c r="C42" s="11"/>
      <c r="D42" s="8"/>
      <c r="E42" s="28"/>
    </row>
    <row r="43" spans="3:5" ht="12.75">
      <c r="C43" s="5"/>
      <c r="E43" s="29"/>
    </row>
    <row r="44" spans="3:5" ht="12.75">
      <c r="C44" s="5"/>
      <c r="E44" s="29"/>
    </row>
    <row r="45" spans="1:5" ht="15">
      <c r="A45" s="237" t="s">
        <v>425</v>
      </c>
      <c r="B45" s="237"/>
      <c r="C45" s="237"/>
      <c r="D45" s="237"/>
      <c r="E45" s="237"/>
    </row>
    <row r="47" spans="1:5" ht="15.75">
      <c r="A47" s="51" t="s">
        <v>73</v>
      </c>
      <c r="B47" s="51" t="s">
        <v>74</v>
      </c>
      <c r="C47" s="51" t="s">
        <v>75</v>
      </c>
      <c r="D47" s="51" t="s">
        <v>76</v>
      </c>
      <c r="E47" s="51" t="s">
        <v>77</v>
      </c>
    </row>
    <row r="48" spans="1:5" ht="12.75">
      <c r="A48" s="6"/>
      <c r="B48" s="6"/>
      <c r="C48" s="9"/>
      <c r="D48" s="6"/>
      <c r="E48" s="21" t="s">
        <v>78</v>
      </c>
    </row>
    <row r="49" spans="1:5" ht="15.75">
      <c r="A49" s="13">
        <v>1</v>
      </c>
      <c r="B49" s="7" t="s">
        <v>79</v>
      </c>
      <c r="C49" s="10" t="s">
        <v>80</v>
      </c>
      <c r="D49" s="3">
        <f>CPTERESULTAT!F5-(CPTERESULTAT!C5+CPTERESULTAT!C6)</f>
        <v>2045445.96</v>
      </c>
      <c r="E49" s="22" t="s">
        <v>81</v>
      </c>
    </row>
    <row r="50" spans="1:5" ht="12.75">
      <c r="A50" s="12"/>
      <c r="B50" s="7" t="s">
        <v>82</v>
      </c>
      <c r="C50" s="10" t="s">
        <v>83</v>
      </c>
      <c r="D50" s="10" t="s">
        <v>283</v>
      </c>
      <c r="E50" s="15" t="s">
        <v>84</v>
      </c>
    </row>
    <row r="51" spans="1:5" ht="12.75">
      <c r="A51" s="8"/>
      <c r="B51" s="8"/>
      <c r="C51" s="11"/>
      <c r="D51" s="11" t="s">
        <v>282</v>
      </c>
      <c r="E51" s="8"/>
    </row>
    <row r="52" spans="1:5" ht="12.75">
      <c r="A52" s="6"/>
      <c r="B52" s="6"/>
      <c r="C52" s="9"/>
      <c r="D52" s="6"/>
      <c r="E52" s="21" t="s">
        <v>85</v>
      </c>
    </row>
    <row r="53" spans="1:5" ht="15.75">
      <c r="A53" s="13">
        <v>2</v>
      </c>
      <c r="B53" s="7" t="s">
        <v>86</v>
      </c>
      <c r="C53" s="10" t="s">
        <v>87</v>
      </c>
      <c r="D53" s="3">
        <f>(CPTERESULTAT!F7+CPTERESULTAT!F8)+CPTERESULTAT!F10+CPTERESULTAT!F11</f>
        <v>1880559.1</v>
      </c>
      <c r="E53" s="15" t="s">
        <v>385</v>
      </c>
    </row>
    <row r="54" spans="1:5" ht="12.75">
      <c r="A54" s="12"/>
      <c r="B54" s="7" t="s">
        <v>88</v>
      </c>
      <c r="C54" s="14" t="s">
        <v>89</v>
      </c>
      <c r="D54" s="10" t="s">
        <v>284</v>
      </c>
      <c r="E54" s="12"/>
    </row>
    <row r="55" spans="1:5" ht="12.75">
      <c r="A55" s="8"/>
      <c r="B55" s="8"/>
      <c r="C55" s="11"/>
      <c r="D55" s="8"/>
      <c r="E55" s="8"/>
    </row>
    <row r="56" spans="1:5" ht="12.75">
      <c r="A56" s="6"/>
      <c r="B56" s="6"/>
      <c r="C56" s="9"/>
      <c r="D56" s="6"/>
      <c r="E56" s="21" t="s">
        <v>90</v>
      </c>
    </row>
    <row r="57" spans="1:5" ht="15.75">
      <c r="A57" s="13">
        <v>3</v>
      </c>
      <c r="B57" s="7" t="s">
        <v>91</v>
      </c>
      <c r="C57" s="10" t="s">
        <v>92</v>
      </c>
      <c r="D57" s="3">
        <f>(D49+D53)-(CPTERESULTAT!C7+CPTERESULTAT!C8+CPTERESULTAT!C9)</f>
        <v>3261654.91</v>
      </c>
      <c r="E57" s="22" t="s">
        <v>93</v>
      </c>
    </row>
    <row r="58" spans="1:5" ht="12.75">
      <c r="A58" s="12"/>
      <c r="B58" s="12"/>
      <c r="C58" s="17" t="s">
        <v>94</v>
      </c>
      <c r="D58" s="15" t="s">
        <v>286</v>
      </c>
      <c r="E58" s="22" t="s">
        <v>96</v>
      </c>
    </row>
    <row r="59" spans="1:5" ht="12.75">
      <c r="A59" s="12"/>
      <c r="B59" s="12"/>
      <c r="C59" s="10"/>
      <c r="D59" s="152" t="s">
        <v>294</v>
      </c>
      <c r="E59" s="22" t="s">
        <v>97</v>
      </c>
    </row>
    <row r="60" spans="1:5" ht="12.75">
      <c r="A60" s="12"/>
      <c r="B60" s="12"/>
      <c r="C60" s="10"/>
      <c r="D60" s="15" t="s">
        <v>239</v>
      </c>
      <c r="E60" s="22" t="s">
        <v>98</v>
      </c>
    </row>
    <row r="61" spans="1:5" ht="12.75">
      <c r="A61" s="12"/>
      <c r="B61" s="12"/>
      <c r="C61" s="10"/>
      <c r="D61" s="16"/>
      <c r="E61" s="22" t="s">
        <v>99</v>
      </c>
    </row>
    <row r="62" spans="1:5" ht="12.75">
      <c r="A62" s="12"/>
      <c r="B62" s="12"/>
      <c r="C62" s="10"/>
      <c r="D62" s="16"/>
      <c r="E62" s="25" t="s">
        <v>100</v>
      </c>
    </row>
    <row r="63" spans="1:5" ht="12.75">
      <c r="A63" s="6"/>
      <c r="B63" s="6"/>
      <c r="C63" s="9"/>
      <c r="D63" s="6"/>
      <c r="E63" s="26" t="s">
        <v>101</v>
      </c>
    </row>
    <row r="64" spans="1:5" ht="15.75">
      <c r="A64" s="13">
        <v>4</v>
      </c>
      <c r="B64" s="7" t="s">
        <v>102</v>
      </c>
      <c r="C64" s="10" t="s">
        <v>103</v>
      </c>
      <c r="D64" s="3">
        <f>D57-CPTERESULTAT!C10-(CPTERESULTAT!C11+CPTERESULTAT!C12)</f>
        <v>1243865.81</v>
      </c>
      <c r="E64" s="27" t="s">
        <v>104</v>
      </c>
    </row>
    <row r="65" spans="1:5" ht="12.75">
      <c r="A65" s="12"/>
      <c r="B65" s="7" t="s">
        <v>105</v>
      </c>
      <c r="C65" s="17" t="s">
        <v>106</v>
      </c>
      <c r="D65" s="10" t="s">
        <v>287</v>
      </c>
      <c r="E65" s="15" t="s">
        <v>108</v>
      </c>
    </row>
    <row r="66" spans="1:5" ht="12.75">
      <c r="A66" s="12"/>
      <c r="B66" s="7"/>
      <c r="C66" s="17"/>
      <c r="D66" s="16" t="s">
        <v>288</v>
      </c>
      <c r="E66" s="15" t="s">
        <v>178</v>
      </c>
    </row>
    <row r="67" spans="1:5" ht="12.75">
      <c r="A67" s="8"/>
      <c r="B67" s="8"/>
      <c r="C67" s="11"/>
      <c r="D67" s="18"/>
      <c r="E67" s="25" t="s">
        <v>177</v>
      </c>
    </row>
    <row r="68" spans="1:5" ht="12.75">
      <c r="A68" s="6"/>
      <c r="B68" s="6"/>
      <c r="C68" s="163"/>
      <c r="D68" s="6"/>
      <c r="E68" s="26"/>
    </row>
    <row r="69" spans="1:5" ht="15.75">
      <c r="A69" s="13">
        <v>5</v>
      </c>
      <c r="B69" s="7" t="s">
        <v>110</v>
      </c>
      <c r="C69" s="10" t="s">
        <v>111</v>
      </c>
      <c r="D69" s="3">
        <f>D64+CPTERESULTAT!F13+CPTERESULTAT!F14-SUM(CPTERESULTAT!C14:C17)-CPTERESULTAT!C18</f>
        <v>913553.81</v>
      </c>
      <c r="E69" s="27" t="s">
        <v>112</v>
      </c>
    </row>
    <row r="70" spans="1:5" ht="12.75">
      <c r="A70" s="12"/>
      <c r="B70" s="7" t="s">
        <v>113</v>
      </c>
      <c r="C70" s="17" t="s">
        <v>114</v>
      </c>
      <c r="D70" s="10" t="s">
        <v>289</v>
      </c>
      <c r="E70" s="27" t="s">
        <v>116</v>
      </c>
    </row>
    <row r="71" spans="1:5" ht="12.75">
      <c r="A71" s="12"/>
      <c r="B71" s="12"/>
      <c r="C71" s="19" t="s">
        <v>117</v>
      </c>
      <c r="D71" s="12"/>
      <c r="E71" s="15" t="s">
        <v>176</v>
      </c>
    </row>
    <row r="72" spans="1:5" ht="12.75">
      <c r="A72" s="12"/>
      <c r="B72" s="12"/>
      <c r="C72" s="19" t="s">
        <v>118</v>
      </c>
      <c r="D72" s="12"/>
      <c r="E72" s="15" t="s">
        <v>386</v>
      </c>
    </row>
    <row r="73" spans="1:5" ht="12.75">
      <c r="A73" s="8"/>
      <c r="B73" s="8"/>
      <c r="C73" s="11"/>
      <c r="D73" s="8"/>
      <c r="E73" s="28"/>
    </row>
    <row r="74" spans="1:5" ht="12.75">
      <c r="A74" s="6"/>
      <c r="B74" s="6"/>
      <c r="C74" s="9"/>
      <c r="D74" s="6"/>
      <c r="E74" s="26"/>
    </row>
    <row r="75" spans="1:5" ht="15.75">
      <c r="A75" s="13">
        <v>6</v>
      </c>
      <c r="B75" s="7" t="s">
        <v>119</v>
      </c>
      <c r="C75" s="10" t="s">
        <v>120</v>
      </c>
      <c r="D75" s="3">
        <f>D69+CPTERESULTAT!F28-CPTERESULTAT!C26</f>
        <v>873794.77</v>
      </c>
      <c r="E75" s="27" t="s">
        <v>121</v>
      </c>
    </row>
    <row r="76" spans="1:5" ht="12.75">
      <c r="A76" s="12"/>
      <c r="B76" s="7" t="s">
        <v>122</v>
      </c>
      <c r="C76" s="17" t="s">
        <v>123</v>
      </c>
      <c r="D76" s="10" t="s">
        <v>290</v>
      </c>
      <c r="E76" s="27" t="s">
        <v>125</v>
      </c>
    </row>
    <row r="77" spans="1:5" ht="12.75">
      <c r="A77" s="8"/>
      <c r="B77" s="8"/>
      <c r="C77" s="11"/>
      <c r="D77" s="8"/>
      <c r="E77" s="25" t="s">
        <v>126</v>
      </c>
    </row>
    <row r="78" spans="1:5" ht="12.75">
      <c r="A78" s="6"/>
      <c r="B78" s="6"/>
      <c r="C78" s="9"/>
      <c r="D78" s="6"/>
      <c r="E78" s="26"/>
    </row>
    <row r="79" spans="1:5" ht="15.75">
      <c r="A79" s="20" t="s">
        <v>127</v>
      </c>
      <c r="B79" s="7" t="s">
        <v>128</v>
      </c>
      <c r="C79" s="19" t="s">
        <v>129</v>
      </c>
      <c r="D79" s="3">
        <f>CPTERESULTAT!F33-+CPTERESULTAT!C31</f>
        <v>-80181.97</v>
      </c>
      <c r="E79" s="27" t="s">
        <v>130</v>
      </c>
    </row>
    <row r="80" spans="1:5" ht="12.75">
      <c r="A80" s="12"/>
      <c r="B80" s="12"/>
      <c r="C80" s="10"/>
      <c r="D80" s="10" t="s">
        <v>291</v>
      </c>
      <c r="E80" s="27" t="s">
        <v>132</v>
      </c>
    </row>
    <row r="81" spans="1:5" ht="12.75">
      <c r="A81" s="8"/>
      <c r="B81" s="8"/>
      <c r="C81" s="11"/>
      <c r="D81" s="8"/>
      <c r="E81" s="25" t="s">
        <v>133</v>
      </c>
    </row>
    <row r="82" spans="1:5" ht="12.75">
      <c r="A82" s="6"/>
      <c r="B82" s="6"/>
      <c r="C82" s="9"/>
      <c r="D82" s="6"/>
      <c r="E82" s="26"/>
    </row>
    <row r="83" spans="1:5" ht="15.75">
      <c r="A83" s="13">
        <v>8</v>
      </c>
      <c r="B83" s="7" t="s">
        <v>134</v>
      </c>
      <c r="C83" s="10" t="s">
        <v>135</v>
      </c>
      <c r="D83" s="3">
        <f>D75+D79-CPTERESULTAT!C32-CPTERESULTAT!C33</f>
        <v>384951.60000000003</v>
      </c>
      <c r="E83" s="27" t="s">
        <v>136</v>
      </c>
    </row>
    <row r="84" spans="1:5" ht="12.75">
      <c r="A84" s="12"/>
      <c r="B84" s="12"/>
      <c r="C84" s="17" t="s">
        <v>137</v>
      </c>
      <c r="D84" s="10" t="s">
        <v>292</v>
      </c>
      <c r="E84" s="27" t="s">
        <v>138</v>
      </c>
    </row>
    <row r="85" spans="1:5" ht="12.75">
      <c r="A85" s="12"/>
      <c r="B85" s="12"/>
      <c r="C85" s="10"/>
      <c r="D85" s="14" t="s">
        <v>293</v>
      </c>
      <c r="E85" s="15" t="s">
        <v>140</v>
      </c>
    </row>
    <row r="86" spans="1:5" ht="12.75">
      <c r="A86" s="8"/>
      <c r="B86" s="8"/>
      <c r="C86" s="11"/>
      <c r="D86" s="8"/>
      <c r="E86" s="28"/>
    </row>
    <row r="87" spans="3:5" ht="12.75">
      <c r="C87" s="5"/>
      <c r="E87" s="29"/>
    </row>
    <row r="88" spans="3:5" ht="12.75">
      <c r="C88" s="5"/>
      <c r="D88" s="2"/>
      <c r="E88" s="29"/>
    </row>
    <row r="89" spans="3:5" ht="12.75">
      <c r="C89" s="5"/>
      <c r="E89" s="29"/>
    </row>
    <row r="90" spans="3:5" ht="12.75">
      <c r="C90" s="5"/>
      <c r="D90" s="2"/>
      <c r="E90" s="29"/>
    </row>
    <row r="91" spans="3:5" ht="12.75">
      <c r="C91" s="5"/>
      <c r="E91" s="29"/>
    </row>
    <row r="92" spans="3:5" ht="12.75">
      <c r="C92" s="5"/>
      <c r="E92" s="29"/>
    </row>
    <row r="93" spans="3:5" ht="12.75">
      <c r="C93" s="5"/>
      <c r="E93" s="29"/>
    </row>
    <row r="94" spans="3:5" ht="12.75">
      <c r="C94" s="5"/>
      <c r="E94" s="29"/>
    </row>
    <row r="95" spans="3:5" ht="12.75">
      <c r="C95" s="5"/>
      <c r="E95" s="29"/>
    </row>
    <row r="96" spans="3:5" ht="12.75">
      <c r="C96" s="5"/>
      <c r="E96" s="29"/>
    </row>
    <row r="97" spans="3:5" ht="12.75">
      <c r="C97" s="5"/>
      <c r="E97" s="29"/>
    </row>
    <row r="98" spans="3:5" ht="12.75">
      <c r="C98" s="5"/>
      <c r="E98" s="29"/>
    </row>
    <row r="99" spans="3:5" ht="12.75">
      <c r="C99" s="5"/>
      <c r="E99" s="29"/>
    </row>
    <row r="100" spans="3:5" ht="12.75">
      <c r="C100" s="5"/>
      <c r="E100" s="29"/>
    </row>
    <row r="101" spans="3:5" ht="12.75">
      <c r="C101" s="5"/>
      <c r="E101" s="29"/>
    </row>
    <row r="102" spans="3:5" ht="12.75">
      <c r="C102" s="5"/>
      <c r="E102" s="29"/>
    </row>
    <row r="103" spans="3:5" ht="12.75">
      <c r="C103" s="5"/>
      <c r="E103" s="30"/>
    </row>
    <row r="104" spans="3:5" ht="12.75">
      <c r="C104" s="5"/>
      <c r="E104" s="30"/>
    </row>
    <row r="105" spans="3:5" ht="12.75">
      <c r="C105" s="5"/>
      <c r="E105" s="30"/>
    </row>
    <row r="106" spans="3:5" ht="12.75">
      <c r="C106" s="5"/>
      <c r="E106" s="30"/>
    </row>
    <row r="107" spans="3:5" ht="12.75">
      <c r="C107" s="5"/>
      <c r="E107" s="30"/>
    </row>
    <row r="108" spans="3:5" ht="12.75">
      <c r="C108" s="5"/>
      <c r="E108" s="30"/>
    </row>
    <row r="109" spans="3:5" ht="12.75">
      <c r="C109" s="5"/>
      <c r="E109" s="30"/>
    </row>
    <row r="110" spans="3:5" ht="12.75">
      <c r="C110" s="5"/>
      <c r="E110" s="30"/>
    </row>
    <row r="111" spans="3:5" ht="12.75">
      <c r="C111" s="5"/>
      <c r="E111" s="30"/>
    </row>
    <row r="112" spans="3:5" ht="12.75">
      <c r="C112" s="5"/>
      <c r="E112" s="30"/>
    </row>
    <row r="113" spans="3:5" ht="12.75">
      <c r="C113" s="5"/>
      <c r="E113" s="30"/>
    </row>
    <row r="114" spans="3:5" ht="12.75">
      <c r="C114" s="5"/>
      <c r="E114" s="30"/>
    </row>
    <row r="115" spans="3:5" ht="12.75">
      <c r="C115" s="5"/>
      <c r="E115" s="30"/>
    </row>
    <row r="116" spans="3:5" ht="12.75">
      <c r="C116" s="5"/>
      <c r="E116" s="30"/>
    </row>
    <row r="117" ht="12.75">
      <c r="E117" s="30"/>
    </row>
    <row r="118" ht="12.75">
      <c r="E118" s="30"/>
    </row>
    <row r="119" ht="12.75">
      <c r="E119" s="30"/>
    </row>
  </sheetData>
  <sheetProtection/>
  <mergeCells count="2">
    <mergeCell ref="A1:E1"/>
    <mergeCell ref="A45:E45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scale="80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31">
      <selection activeCell="C63" sqref="C63"/>
    </sheetView>
  </sheetViews>
  <sheetFormatPr defaultColWidth="11.421875" defaultRowHeight="12.75"/>
  <cols>
    <col min="1" max="1" width="18.421875" style="0" customWidth="1"/>
    <col min="2" max="2" width="27.421875" style="0" customWidth="1"/>
    <col min="3" max="3" width="55.00390625" style="0" customWidth="1"/>
    <col min="4" max="4" width="37.8515625" style="0" customWidth="1"/>
    <col min="5" max="5" width="58.28125" style="0" customWidth="1"/>
    <col min="7" max="7" width="11.7109375" style="0" bestFit="1" customWidth="1"/>
  </cols>
  <sheetData>
    <row r="1" spans="1:5" ht="20.25">
      <c r="A1" s="238" t="s">
        <v>426</v>
      </c>
      <c r="B1" s="238"/>
      <c r="C1" s="238"/>
      <c r="D1" s="238"/>
      <c r="E1" s="238"/>
    </row>
    <row r="2" ht="13.5" thickBot="1"/>
    <row r="3" spans="1:5" ht="12.75">
      <c r="A3" s="48" t="s">
        <v>141</v>
      </c>
      <c r="B3" s="49" t="s">
        <v>142</v>
      </c>
      <c r="C3" s="49" t="s">
        <v>143</v>
      </c>
      <c r="D3" s="49" t="s">
        <v>76</v>
      </c>
      <c r="E3" s="50" t="s">
        <v>144</v>
      </c>
    </row>
    <row r="4" spans="1:5" ht="12.75">
      <c r="A4" s="34"/>
      <c r="B4" s="6"/>
      <c r="C4" s="21"/>
      <c r="D4" s="6"/>
      <c r="E4" s="35"/>
    </row>
    <row r="5" spans="1:5" ht="12.75">
      <c r="A5" s="36"/>
      <c r="B5" s="32" t="s">
        <v>145</v>
      </c>
      <c r="C5" s="22" t="s">
        <v>146</v>
      </c>
      <c r="D5" s="33">
        <f>(CPTERESULTAT!E9-CPTERESULTAT!F9)/CPTERESULTAT!F9</f>
        <v>0.049962520374724276</v>
      </c>
      <c r="E5" s="37" t="s">
        <v>314</v>
      </c>
    </row>
    <row r="6" spans="1:5" ht="12.75">
      <c r="A6" s="36"/>
      <c r="B6" s="31" t="s">
        <v>147</v>
      </c>
      <c r="C6" s="22"/>
      <c r="D6" s="15" t="s">
        <v>148</v>
      </c>
      <c r="E6" s="38" t="s">
        <v>315</v>
      </c>
    </row>
    <row r="7" spans="1:5" ht="12.75">
      <c r="A7" s="39" t="s">
        <v>149</v>
      </c>
      <c r="B7" s="12"/>
      <c r="C7" s="22"/>
      <c r="D7" s="12"/>
      <c r="E7" s="40"/>
    </row>
    <row r="8" spans="1:5" ht="12.75">
      <c r="A8" s="39" t="s">
        <v>150</v>
      </c>
      <c r="B8" s="32" t="s">
        <v>151</v>
      </c>
      <c r="C8" s="22" t="s">
        <v>152</v>
      </c>
      <c r="D8" s="33">
        <f>(SIG!D13-3261654.91)/3261654.91</f>
        <v>0.023578070679463693</v>
      </c>
      <c r="E8" s="37" t="s">
        <v>228</v>
      </c>
    </row>
    <row r="9" spans="1:5" ht="12.75">
      <c r="A9" s="36"/>
      <c r="B9" s="31" t="s">
        <v>153</v>
      </c>
      <c r="C9" s="15" t="s">
        <v>154</v>
      </c>
      <c r="D9" s="15" t="s">
        <v>206</v>
      </c>
      <c r="E9" s="38" t="s">
        <v>209</v>
      </c>
    </row>
    <row r="10" spans="1:5" ht="12.75">
      <c r="A10" s="36"/>
      <c r="B10" s="12"/>
      <c r="C10" s="15" t="s">
        <v>229</v>
      </c>
      <c r="D10" s="15"/>
      <c r="E10" s="38" t="s">
        <v>234</v>
      </c>
    </row>
    <row r="11" spans="1:5" ht="12.75">
      <c r="A11" s="36"/>
      <c r="B11" s="12"/>
      <c r="C11" s="4"/>
      <c r="D11" s="12"/>
      <c r="E11" s="38" t="s">
        <v>210</v>
      </c>
    </row>
    <row r="12" spans="1:5" ht="12.75">
      <c r="A12" s="36"/>
      <c r="B12" s="12"/>
      <c r="C12" s="15"/>
      <c r="D12" s="12"/>
      <c r="E12" s="38" t="s">
        <v>388</v>
      </c>
    </row>
    <row r="13" spans="1:5" ht="12.75">
      <c r="A13" s="41"/>
      <c r="B13" s="8"/>
      <c r="C13" s="23"/>
      <c r="D13" s="8"/>
      <c r="E13" s="42"/>
    </row>
    <row r="14" spans="1:5" ht="12.75">
      <c r="A14" s="34"/>
      <c r="B14" s="6"/>
      <c r="C14" s="21"/>
      <c r="D14" s="6"/>
      <c r="E14" s="43"/>
    </row>
    <row r="15" spans="2:5" ht="12.75">
      <c r="B15" s="12"/>
      <c r="C15" s="22"/>
      <c r="D15" s="12"/>
      <c r="E15" s="153"/>
    </row>
    <row r="16" spans="1:5" ht="12.75">
      <c r="A16" s="39" t="s">
        <v>156</v>
      </c>
      <c r="B16" s="32" t="s">
        <v>225</v>
      </c>
      <c r="C16" s="22" t="s">
        <v>157</v>
      </c>
      <c r="D16" s="33">
        <f>(CPTERESULTAT!B11+CPTERESULTAT!B12)/CPTERESULTAT!B35</f>
        <v>0.42739790264972166</v>
      </c>
      <c r="E16" s="37" t="s">
        <v>316</v>
      </c>
    </row>
    <row r="17" spans="1:5" ht="12.75">
      <c r="A17" s="36"/>
      <c r="B17" s="31" t="s">
        <v>158</v>
      </c>
      <c r="C17" s="22" t="s">
        <v>159</v>
      </c>
      <c r="D17" s="15" t="s">
        <v>296</v>
      </c>
      <c r="E17" s="37" t="s">
        <v>241</v>
      </c>
    </row>
    <row r="18" spans="1:5" ht="12.75">
      <c r="A18" s="36"/>
      <c r="B18" s="12"/>
      <c r="C18" s="22" t="s">
        <v>226</v>
      </c>
      <c r="D18" s="33">
        <f>(CPTERESULTAT!C11+CPTERESULTAT!C12)/CPTERESULTAT!C35</f>
        <v>0.4394754360061069</v>
      </c>
      <c r="E18" s="38" t="s">
        <v>160</v>
      </c>
    </row>
    <row r="19" spans="1:5" ht="12.75">
      <c r="A19" s="36"/>
      <c r="B19" s="12"/>
      <c r="C19" s="22"/>
      <c r="D19" s="10" t="s">
        <v>297</v>
      </c>
      <c r="E19" s="38"/>
    </row>
    <row r="20" spans="1:5" ht="12.75">
      <c r="A20" s="41"/>
      <c r="B20" s="8"/>
      <c r="C20" s="23"/>
      <c r="D20" s="8"/>
      <c r="E20" s="154"/>
    </row>
    <row r="21" spans="1:5" ht="12.75">
      <c r="A21" s="34"/>
      <c r="B21" s="6"/>
      <c r="C21" s="21"/>
      <c r="D21" s="6"/>
      <c r="E21" s="43"/>
    </row>
    <row r="22" spans="1:5" ht="12.75">
      <c r="A22" s="36"/>
      <c r="B22" s="32" t="s">
        <v>134</v>
      </c>
      <c r="C22" s="22" t="s">
        <v>318</v>
      </c>
      <c r="D22" s="33">
        <f>CPTERESULTAT!B36/CPTERESULTAT!E9</f>
        <v>0.07808391629334678</v>
      </c>
      <c r="E22" s="37" t="s">
        <v>240</v>
      </c>
    </row>
    <row r="23" spans="1:5" ht="12.75">
      <c r="A23" s="36"/>
      <c r="B23" s="31" t="s">
        <v>230</v>
      </c>
      <c r="C23" s="22" t="s">
        <v>317</v>
      </c>
      <c r="D23" s="10" t="s">
        <v>298</v>
      </c>
      <c r="E23" s="37" t="s">
        <v>309</v>
      </c>
    </row>
    <row r="24" spans="1:5" ht="12.75">
      <c r="A24" s="36"/>
      <c r="B24" s="31"/>
      <c r="C24" s="22"/>
      <c r="D24" s="33">
        <f>CPTERESULTAT!C36/CPTERESULTAT!F9</f>
        <v>0.08524473398996982</v>
      </c>
      <c r="E24" s="38" t="s">
        <v>310</v>
      </c>
    </row>
    <row r="25" spans="1:5" ht="12.75">
      <c r="A25" s="36"/>
      <c r="B25" s="31"/>
      <c r="C25" s="22"/>
      <c r="D25" s="10" t="s">
        <v>299</v>
      </c>
      <c r="E25" s="38"/>
    </row>
    <row r="26" spans="1:5" ht="12.75">
      <c r="A26" s="39" t="s">
        <v>161</v>
      </c>
      <c r="B26" s="12"/>
      <c r="C26" s="22"/>
      <c r="D26" s="12"/>
      <c r="E26" s="53"/>
    </row>
    <row r="27" spans="1:5" ht="12.75">
      <c r="A27" s="36"/>
      <c r="B27" s="32" t="s">
        <v>231</v>
      </c>
      <c r="C27" s="22" t="s">
        <v>319</v>
      </c>
      <c r="D27" s="33">
        <f>SIG!D20/CPTERESULTAT!E9</f>
        <v>0.2477960768648832</v>
      </c>
      <c r="E27" s="44" t="s">
        <v>232</v>
      </c>
    </row>
    <row r="28" spans="1:5" ht="12.75">
      <c r="A28" s="36"/>
      <c r="B28" s="31" t="s">
        <v>230</v>
      </c>
      <c r="C28" s="22" t="s">
        <v>327</v>
      </c>
      <c r="D28" s="10" t="s">
        <v>300</v>
      </c>
      <c r="E28" s="44" t="s">
        <v>245</v>
      </c>
    </row>
    <row r="29" spans="1:5" ht="12.75">
      <c r="A29" s="36"/>
      <c r="B29" s="31"/>
      <c r="C29" s="22" t="s">
        <v>328</v>
      </c>
      <c r="D29" s="33">
        <f>SIG!D64/CPTERESULTAT!F9</f>
        <v>0.2754450432019712</v>
      </c>
      <c r="E29" s="44" t="s">
        <v>305</v>
      </c>
    </row>
    <row r="30" spans="1:5" ht="12.75">
      <c r="A30" s="36"/>
      <c r="B30" s="31"/>
      <c r="C30" s="22" t="s">
        <v>329</v>
      </c>
      <c r="D30" s="10" t="s">
        <v>301</v>
      </c>
      <c r="E30" s="53"/>
    </row>
    <row r="31" spans="1:5" ht="12.75">
      <c r="A31" s="36"/>
      <c r="B31" s="31"/>
      <c r="C31" s="22"/>
      <c r="D31" s="10"/>
      <c r="E31" s="53"/>
    </row>
    <row r="32" spans="1:5" ht="12.75">
      <c r="A32" s="36"/>
      <c r="B32" s="32" t="s">
        <v>155</v>
      </c>
      <c r="C32" s="22" t="s">
        <v>323</v>
      </c>
      <c r="D32" s="33">
        <f>SIG!D5/CPTERESULTAT!E5</f>
        <v>0.7055127136625453</v>
      </c>
      <c r="E32" s="186" t="s">
        <v>326</v>
      </c>
    </row>
    <row r="33" spans="1:5" ht="12.75">
      <c r="A33" s="36"/>
      <c r="B33" s="31" t="s">
        <v>320</v>
      </c>
      <c r="C33" s="22" t="s">
        <v>324</v>
      </c>
      <c r="D33" s="10" t="s">
        <v>321</v>
      </c>
      <c r="E33" s="186" t="s">
        <v>325</v>
      </c>
    </row>
    <row r="34" spans="1:5" ht="12.75">
      <c r="A34" s="36"/>
      <c r="B34" s="31"/>
      <c r="C34" s="22"/>
      <c r="D34" s="33">
        <f>SIG!D49/CPTERESULTAT!F5</f>
        <v>0.7239181690586362</v>
      </c>
      <c r="E34" s="184"/>
    </row>
    <row r="35" spans="1:5" ht="12.75">
      <c r="A35" s="36"/>
      <c r="B35" s="31"/>
      <c r="C35" s="22"/>
      <c r="D35" s="10" t="s">
        <v>322</v>
      </c>
      <c r="E35" s="184"/>
    </row>
    <row r="36" spans="1:5" ht="12.75">
      <c r="A36" s="36"/>
      <c r="B36" s="31"/>
      <c r="C36" s="22"/>
      <c r="D36" s="10"/>
      <c r="E36" s="155"/>
    </row>
    <row r="37" spans="1:5" ht="12.75">
      <c r="A37" s="34"/>
      <c r="B37" s="6"/>
      <c r="C37" s="21"/>
      <c r="D37" s="6"/>
      <c r="E37" s="43"/>
    </row>
    <row r="38" spans="1:7" ht="12.75">
      <c r="A38" s="39" t="s">
        <v>227</v>
      </c>
      <c r="B38" s="32" t="s">
        <v>162</v>
      </c>
      <c r="C38" s="22" t="s">
        <v>163</v>
      </c>
      <c r="D38" s="33">
        <f>CPTERESULTAT!B36/CPTERESULTAT!C39</f>
        <v>0.08997132442284349</v>
      </c>
      <c r="E38" s="37" t="s">
        <v>164</v>
      </c>
      <c r="G38" s="2"/>
    </row>
    <row r="39" spans="1:5" ht="12.75">
      <c r="A39" s="39" t="s">
        <v>165</v>
      </c>
      <c r="B39" s="31" t="s">
        <v>166</v>
      </c>
      <c r="C39" s="22" t="s">
        <v>207</v>
      </c>
      <c r="D39" s="10" t="s">
        <v>303</v>
      </c>
      <c r="E39" s="38" t="s">
        <v>167</v>
      </c>
    </row>
    <row r="40" spans="1:7" ht="12.75">
      <c r="A40" s="36"/>
      <c r="B40" s="12"/>
      <c r="C40" s="22" t="s">
        <v>168</v>
      </c>
      <c r="D40" s="33">
        <f>CPTERESULTAT!C36/CPTERESULTAT!C39</f>
        <v>0.09354838396111823</v>
      </c>
      <c r="E40" s="38" t="s">
        <v>242</v>
      </c>
      <c r="G40" s="2"/>
    </row>
    <row r="41" spans="1:7" ht="12.75">
      <c r="A41" s="36"/>
      <c r="B41" s="12"/>
      <c r="C41" s="22"/>
      <c r="D41" s="10" t="s">
        <v>304</v>
      </c>
      <c r="E41" s="38"/>
      <c r="G41" s="2"/>
    </row>
    <row r="42" spans="1:7" ht="12.75">
      <c r="A42" s="36"/>
      <c r="B42" s="12"/>
      <c r="C42" s="22"/>
      <c r="D42" s="10"/>
      <c r="E42" s="38"/>
      <c r="G42" s="2"/>
    </row>
    <row r="43" spans="1:7" ht="12.75">
      <c r="A43" s="36"/>
      <c r="B43" s="188" t="s">
        <v>330</v>
      </c>
      <c r="C43" s="10" t="s">
        <v>331</v>
      </c>
      <c r="D43" s="33">
        <f>SIG!D20/SIG!D13</f>
        <v>0.35192312823495153</v>
      </c>
      <c r="E43" s="38" t="s">
        <v>389</v>
      </c>
      <c r="G43" s="2"/>
    </row>
    <row r="44" spans="1:7" ht="12.75">
      <c r="A44" s="36"/>
      <c r="B44" s="187" t="s">
        <v>91</v>
      </c>
      <c r="C44" s="10" t="s">
        <v>332</v>
      </c>
      <c r="D44" s="10" t="s">
        <v>333</v>
      </c>
      <c r="E44" s="38" t="s">
        <v>335</v>
      </c>
      <c r="G44" s="2"/>
    </row>
    <row r="45" spans="1:7" ht="12.75">
      <c r="A45" s="36"/>
      <c r="B45" s="12"/>
      <c r="C45" s="22"/>
      <c r="D45" s="33">
        <f>SIG!D64/SIG!D57</f>
        <v>0.3813603352661242</v>
      </c>
      <c r="E45" s="38"/>
      <c r="G45" s="2"/>
    </row>
    <row r="46" spans="1:7" ht="12.75">
      <c r="A46" s="36"/>
      <c r="B46" s="12"/>
      <c r="C46" s="22"/>
      <c r="D46" s="10" t="s">
        <v>334</v>
      </c>
      <c r="E46" s="38"/>
      <c r="G46" s="2"/>
    </row>
    <row r="47" spans="1:7" ht="12.75">
      <c r="A47" s="41"/>
      <c r="B47" s="8"/>
      <c r="C47" s="23"/>
      <c r="D47" s="8"/>
      <c r="E47" s="154"/>
      <c r="G47" s="2"/>
    </row>
    <row r="48" spans="1:5" ht="12.75">
      <c r="A48" s="63"/>
      <c r="B48" s="12"/>
      <c r="C48" s="22"/>
      <c r="D48" s="12"/>
      <c r="E48" s="38"/>
    </row>
    <row r="49" spans="1:5" ht="12.75">
      <c r="A49" s="39" t="s">
        <v>169</v>
      </c>
      <c r="B49" s="32" t="s">
        <v>171</v>
      </c>
      <c r="C49" s="22" t="s">
        <v>172</v>
      </c>
      <c r="D49" s="33">
        <f>SUM(CPTERESULTAT!B14:B17)/SIG!D13</f>
        <v>0.11546899864960879</v>
      </c>
      <c r="E49" s="37" t="s">
        <v>246</v>
      </c>
    </row>
    <row r="50" spans="1:5" ht="12.75">
      <c r="A50" s="39" t="s">
        <v>170</v>
      </c>
      <c r="B50" s="31" t="s">
        <v>91</v>
      </c>
      <c r="C50" s="22" t="s">
        <v>173</v>
      </c>
      <c r="D50" s="10" t="s">
        <v>306</v>
      </c>
      <c r="E50" s="38" t="s">
        <v>174</v>
      </c>
    </row>
    <row r="51" spans="1:5" ht="12.75">
      <c r="A51" s="36"/>
      <c r="B51" s="31"/>
      <c r="C51" s="22"/>
      <c r="D51" s="33">
        <f>SUM(CPTERESULTAT!C14:C17)/SIG!D57</f>
        <v>0.09365828342643397</v>
      </c>
      <c r="E51" s="38" t="s">
        <v>243</v>
      </c>
    </row>
    <row r="52" spans="1:5" ht="12.75">
      <c r="A52" s="36"/>
      <c r="B52" s="31"/>
      <c r="C52" s="22"/>
      <c r="D52" s="10" t="s">
        <v>307</v>
      </c>
      <c r="E52" s="156" t="s">
        <v>244</v>
      </c>
    </row>
    <row r="53" spans="1:5" ht="12.75">
      <c r="A53" s="36"/>
      <c r="B53" s="31"/>
      <c r="C53" s="22"/>
      <c r="D53" s="10" t="s">
        <v>308</v>
      </c>
      <c r="E53" s="155"/>
    </row>
    <row r="54" spans="1:5" ht="13.5" thickBot="1">
      <c r="A54" s="45"/>
      <c r="B54" s="46"/>
      <c r="C54" s="47"/>
      <c r="D54" s="46"/>
      <c r="E54" s="55"/>
    </row>
    <row r="55" spans="3:5" ht="12.75">
      <c r="C55" s="24"/>
      <c r="E55" s="24"/>
    </row>
    <row r="56" spans="1:5" ht="12.75">
      <c r="A56" s="108" t="s">
        <v>208</v>
      </c>
      <c r="B56" s="109" t="s">
        <v>336</v>
      </c>
      <c r="D56" s="2"/>
      <c r="E56" s="24"/>
    </row>
    <row r="57" spans="2:5" ht="12.75">
      <c r="B57" s="109" t="s">
        <v>337</v>
      </c>
      <c r="E57" s="24"/>
    </row>
    <row r="58" spans="3:5" ht="12.75">
      <c r="C58" s="185"/>
      <c r="E58" s="24"/>
    </row>
    <row r="59" ht="12.75">
      <c r="C59" s="24"/>
    </row>
    <row r="60" spans="1:4" ht="20.25">
      <c r="A60" s="238" t="s">
        <v>427</v>
      </c>
      <c r="B60" s="238"/>
      <c r="C60" s="238"/>
      <c r="D60" s="238"/>
    </row>
    <row r="61" ht="13.5" thickBot="1">
      <c r="C61" s="24"/>
    </row>
    <row r="62" spans="1:4" ht="12.75">
      <c r="A62" s="168"/>
      <c r="B62" s="169"/>
      <c r="C62" s="170" t="s">
        <v>213</v>
      </c>
      <c r="D62" s="171" t="s">
        <v>212</v>
      </c>
    </row>
    <row r="63" spans="1:4" ht="21.75" customHeight="1">
      <c r="A63" s="172" t="s">
        <v>279</v>
      </c>
      <c r="B63" s="166"/>
      <c r="C63" s="174">
        <f>(CPTERESULTAT!B11+CPTERESULTAT!B12)/SIG!D13</f>
        <v>0.6347723270646118</v>
      </c>
      <c r="D63" s="175">
        <f>(CPTERESULTAT!C11+CPTERESULTAT!C12)/SIG!D57</f>
        <v>0.6058239619224464</v>
      </c>
    </row>
    <row r="64" spans="1:4" ht="21.75" customHeight="1">
      <c r="A64" s="172" t="s">
        <v>280</v>
      </c>
      <c r="B64" s="166"/>
      <c r="C64" s="174">
        <f>(CPTERESULTAT!B10+CPTERESULTAT!B33)/SIG!D13</f>
        <v>0.1156600990935477</v>
      </c>
      <c r="D64" s="175">
        <f>(CPTERESULTAT!C10+CPTERESULTAT!C33)/SIG!D57</f>
        <v>0.10815540262044461</v>
      </c>
    </row>
    <row r="65" spans="1:4" ht="21.75" customHeight="1">
      <c r="A65" s="172" t="s">
        <v>278</v>
      </c>
      <c r="B65" s="166"/>
      <c r="C65" s="174">
        <f>CPTERESULTAT!B26/SIG!D13</f>
        <v>0.04178330333495675</v>
      </c>
      <c r="D65" s="175">
        <f>CPTERESULTAT!C26/SIG!D57</f>
        <v>0.04020236463335724</v>
      </c>
    </row>
    <row r="66" spans="1:4" ht="21.75" customHeight="1">
      <c r="A66" s="172" t="s">
        <v>312</v>
      </c>
      <c r="B66" s="166"/>
      <c r="C66" s="174">
        <f>CPTERESULTAT!C40/SIG!D13</f>
        <v>0.03294835240326061</v>
      </c>
      <c r="D66" s="181">
        <f>CPTERESULTAT!C41/SIG!D57</f>
        <v>0.030659282713633246</v>
      </c>
    </row>
    <row r="67" spans="1:4" ht="21.75" customHeight="1" thickBot="1">
      <c r="A67" s="173" t="s">
        <v>281</v>
      </c>
      <c r="B67" s="167"/>
      <c r="C67" s="176">
        <f>100%-SUM(C63:C66)</f>
        <v>0.1748359181036231</v>
      </c>
      <c r="D67" s="177">
        <f>100%-SUM(D63:D66)</f>
        <v>0.21515898811011847</v>
      </c>
    </row>
    <row r="68" spans="1:4" ht="12.75">
      <c r="A68" s="164"/>
      <c r="B68" s="5" t="s">
        <v>295</v>
      </c>
      <c r="C68" s="165">
        <f>SUM(C63:C67)</f>
        <v>1</v>
      </c>
      <c r="D68" s="165">
        <f>SUM(D63:D67)</f>
        <v>1</v>
      </c>
    </row>
    <row r="69" spans="1:3" ht="12.75">
      <c r="A69" s="178"/>
      <c r="B69" s="179"/>
      <c r="C69" s="24"/>
    </row>
    <row r="70" spans="1:3" ht="12.75">
      <c r="A70" s="203" t="s">
        <v>77</v>
      </c>
      <c r="C70" s="24"/>
    </row>
    <row r="71" spans="1:3" ht="12.75">
      <c r="A71" s="198"/>
      <c r="C71" s="24"/>
    </row>
    <row r="72" spans="1:3" ht="12.75">
      <c r="A72" s="212" t="s">
        <v>390</v>
      </c>
      <c r="C72" s="24"/>
    </row>
    <row r="73" spans="1:3" ht="12.75">
      <c r="A73" s="212" t="s">
        <v>391</v>
      </c>
      <c r="C73" s="24"/>
    </row>
    <row r="74" spans="1:3" ht="12.75">
      <c r="A74" s="198"/>
      <c r="C74" s="24"/>
    </row>
    <row r="75" spans="1:3" ht="12.75">
      <c r="A75" s="198"/>
      <c r="C75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ht="12.75"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  <row r="183" ht="12.75">
      <c r="C183" s="24"/>
    </row>
    <row r="184" ht="12.75">
      <c r="C184" s="24"/>
    </row>
    <row r="185" ht="12.75">
      <c r="C185" s="24"/>
    </row>
    <row r="186" ht="12.75">
      <c r="C186" s="24"/>
    </row>
    <row r="187" ht="12.75">
      <c r="C187" s="24"/>
    </row>
    <row r="188" ht="12.75">
      <c r="C188" s="24"/>
    </row>
    <row r="189" ht="12.75">
      <c r="C189" s="24"/>
    </row>
    <row r="190" ht="12.75">
      <c r="C190" s="24"/>
    </row>
  </sheetData>
  <sheetProtection/>
  <mergeCells count="2">
    <mergeCell ref="A1:E1"/>
    <mergeCell ref="A60:D60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0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L93"/>
  <sheetViews>
    <sheetView zoomScalePageLayoutView="0" workbookViewId="0" topLeftCell="A1">
      <selection activeCell="A73" sqref="A73"/>
    </sheetView>
  </sheetViews>
  <sheetFormatPr defaultColWidth="11.421875" defaultRowHeight="12.75"/>
  <cols>
    <col min="1" max="1" width="46.8515625" style="0" customWidth="1"/>
    <col min="3" max="3" width="3.140625" style="0" customWidth="1"/>
    <col min="4" max="4" width="47.140625" style="0" customWidth="1"/>
  </cols>
  <sheetData>
    <row r="1" spans="1:12" ht="20.25">
      <c r="A1" s="230" t="s">
        <v>340</v>
      </c>
      <c r="B1" s="230"/>
      <c r="C1" s="230"/>
      <c r="D1" s="230"/>
      <c r="E1" s="230"/>
      <c r="F1" s="230"/>
      <c r="G1" s="204"/>
      <c r="H1" s="204"/>
      <c r="I1" s="204"/>
      <c r="J1" s="204"/>
      <c r="K1" s="204"/>
      <c r="L1" s="204"/>
    </row>
    <row r="3" ht="18">
      <c r="A3" s="227" t="s">
        <v>253</v>
      </c>
    </row>
    <row r="4" ht="6.75" customHeight="1"/>
    <row r="5" ht="12.75">
      <c r="A5" s="157" t="s">
        <v>341</v>
      </c>
    </row>
    <row r="6" ht="12.75">
      <c r="A6" s="157" t="s">
        <v>358</v>
      </c>
    </row>
    <row r="7" ht="12.75">
      <c r="A7" s="157" t="s">
        <v>7</v>
      </c>
    </row>
    <row r="8" ht="12.75">
      <c r="A8" t="s">
        <v>8</v>
      </c>
    </row>
    <row r="9" ht="12.75">
      <c r="A9" t="s">
        <v>392</v>
      </c>
    </row>
    <row r="10" ht="12.75">
      <c r="A10" t="s">
        <v>9</v>
      </c>
    </row>
    <row r="11" ht="12.75">
      <c r="A11" t="s">
        <v>10</v>
      </c>
    </row>
    <row r="12" ht="12.75">
      <c r="A12" s="157" t="s">
        <v>16</v>
      </c>
    </row>
    <row r="13" ht="12.75">
      <c r="A13" s="157"/>
    </row>
    <row r="14" ht="18">
      <c r="A14" s="227" t="s">
        <v>254</v>
      </c>
    </row>
    <row r="15" ht="6" customHeight="1">
      <c r="A15" s="157"/>
    </row>
    <row r="16" ht="12.75">
      <c r="A16" s="189" t="s">
        <v>1</v>
      </c>
    </row>
    <row r="17" ht="12.75">
      <c r="A17" t="s">
        <v>2</v>
      </c>
    </row>
    <row r="18" ht="12.75">
      <c r="A18" s="29" t="s">
        <v>344</v>
      </c>
    </row>
    <row r="19" ht="12.75">
      <c r="A19" s="29" t="s">
        <v>345</v>
      </c>
    </row>
    <row r="20" ht="7.5" customHeight="1"/>
    <row r="21" ht="12.75">
      <c r="A21" s="180" t="s">
        <v>3</v>
      </c>
    </row>
    <row r="22" ht="12.75">
      <c r="A22" t="s">
        <v>350</v>
      </c>
    </row>
    <row r="23" ht="12.75">
      <c r="A23" t="s">
        <v>393</v>
      </c>
    </row>
    <row r="24" ht="12.75">
      <c r="A24" t="s">
        <v>394</v>
      </c>
    </row>
    <row r="25" ht="12.75">
      <c r="A25" t="s">
        <v>395</v>
      </c>
    </row>
    <row r="26" ht="5.25" customHeight="1"/>
    <row r="27" ht="12.75">
      <c r="A27" s="180" t="s">
        <v>4</v>
      </c>
    </row>
    <row r="28" ht="12.75">
      <c r="A28" t="s">
        <v>396</v>
      </c>
    </row>
    <row r="29" ht="12.75">
      <c r="A29" t="s">
        <v>351</v>
      </c>
    </row>
    <row r="30" ht="12.75">
      <c r="A30" t="s">
        <v>346</v>
      </c>
    </row>
    <row r="31" ht="12.75">
      <c r="A31" t="s">
        <v>347</v>
      </c>
    </row>
    <row r="32" ht="12.75">
      <c r="A32" t="s">
        <v>348</v>
      </c>
    </row>
    <row r="33" ht="6" customHeight="1"/>
    <row r="34" ht="12.75">
      <c r="A34" s="180" t="s">
        <v>5</v>
      </c>
    </row>
    <row r="35" ht="12.75">
      <c r="A35" t="s">
        <v>352</v>
      </c>
    </row>
    <row r="36" ht="12.75">
      <c r="A36" t="s">
        <v>353</v>
      </c>
    </row>
    <row r="37" ht="12.75">
      <c r="A37" t="s">
        <v>354</v>
      </c>
    </row>
    <row r="38" ht="12.75">
      <c r="A38" t="s">
        <v>0</v>
      </c>
    </row>
    <row r="39" ht="12.75">
      <c r="A39" s="190" t="s">
        <v>6</v>
      </c>
    </row>
    <row r="40" ht="8.25" customHeight="1"/>
    <row r="41" ht="12.75">
      <c r="A41" s="157" t="s">
        <v>349</v>
      </c>
    </row>
    <row r="42" ht="12.75">
      <c r="A42" t="s">
        <v>397</v>
      </c>
    </row>
    <row r="43" ht="7.5" customHeight="1" thickBot="1"/>
    <row r="44" spans="1:5" ht="16.5" thickBot="1">
      <c r="A44" s="239" t="s">
        <v>182</v>
      </c>
      <c r="B44" s="240"/>
      <c r="D44" s="239" t="s">
        <v>13</v>
      </c>
      <c r="E44" s="240"/>
    </row>
    <row r="45" spans="1:5" ht="7.5" customHeight="1">
      <c r="A45" s="52"/>
      <c r="B45" s="53"/>
      <c r="D45" s="63"/>
      <c r="E45" s="53"/>
    </row>
    <row r="46" spans="1:5" ht="12.75">
      <c r="A46" s="62" t="s">
        <v>188</v>
      </c>
      <c r="B46" s="191" t="s">
        <v>11</v>
      </c>
      <c r="D46" s="67" t="s">
        <v>162</v>
      </c>
      <c r="E46" s="191" t="s">
        <v>11</v>
      </c>
    </row>
    <row r="47" spans="1:5" ht="6.75" customHeight="1">
      <c r="A47" s="56"/>
      <c r="B47" s="191"/>
      <c r="D47" s="63"/>
      <c r="E47" s="54"/>
    </row>
    <row r="48" spans="1:5" ht="12.75">
      <c r="A48" s="57" t="s">
        <v>193</v>
      </c>
      <c r="B48" s="191" t="s">
        <v>11</v>
      </c>
      <c r="D48" s="64" t="s">
        <v>200</v>
      </c>
      <c r="E48" s="191" t="s">
        <v>11</v>
      </c>
    </row>
    <row r="49" spans="1:5" ht="12.75">
      <c r="A49" s="57" t="s">
        <v>183</v>
      </c>
      <c r="B49" s="191" t="s">
        <v>11</v>
      </c>
      <c r="D49" s="64" t="s">
        <v>201</v>
      </c>
      <c r="E49" s="191" t="s">
        <v>11</v>
      </c>
    </row>
    <row r="50" spans="1:5" ht="6" customHeight="1">
      <c r="A50" s="56"/>
      <c r="B50" s="192"/>
      <c r="D50" s="63"/>
      <c r="E50" s="60"/>
    </row>
    <row r="51" spans="1:5" ht="12.75">
      <c r="A51" s="57" t="s">
        <v>202</v>
      </c>
      <c r="B51" s="191" t="s">
        <v>11</v>
      </c>
      <c r="D51" s="64" t="s">
        <v>197</v>
      </c>
      <c r="E51" s="191" t="s">
        <v>11</v>
      </c>
    </row>
    <row r="52" spans="1:5" ht="12.75">
      <c r="A52" s="57" t="s">
        <v>203</v>
      </c>
      <c r="B52" s="191" t="s">
        <v>11</v>
      </c>
      <c r="D52" s="64" t="s">
        <v>196</v>
      </c>
      <c r="E52" s="191" t="s">
        <v>11</v>
      </c>
    </row>
    <row r="53" spans="1:5" ht="6.75" customHeight="1">
      <c r="A53" s="56"/>
      <c r="B53" s="192"/>
      <c r="D53" s="63"/>
      <c r="E53" s="60"/>
    </row>
    <row r="54" spans="1:5" ht="12.75">
      <c r="A54" s="57" t="s">
        <v>189</v>
      </c>
      <c r="B54" s="191" t="s">
        <v>11</v>
      </c>
      <c r="D54" s="64" t="s">
        <v>190</v>
      </c>
      <c r="E54" s="191" t="s">
        <v>11</v>
      </c>
    </row>
    <row r="55" spans="1:5" ht="12.75">
      <c r="A55" s="57" t="s">
        <v>186</v>
      </c>
      <c r="B55" s="191" t="s">
        <v>11</v>
      </c>
      <c r="D55" s="64" t="s">
        <v>191</v>
      </c>
      <c r="E55" s="191" t="s">
        <v>11</v>
      </c>
    </row>
    <row r="56" spans="1:5" ht="3.75" customHeight="1">
      <c r="A56" s="56"/>
      <c r="B56" s="192"/>
      <c r="D56" s="63"/>
      <c r="E56" s="60"/>
    </row>
    <row r="57" spans="1:5" ht="12.75">
      <c r="A57" s="57" t="s">
        <v>184</v>
      </c>
      <c r="B57" s="191" t="s">
        <v>11</v>
      </c>
      <c r="D57" s="64" t="s">
        <v>14</v>
      </c>
      <c r="E57" s="191" t="s">
        <v>11</v>
      </c>
    </row>
    <row r="58" spans="1:5" ht="12.75">
      <c r="A58" s="57" t="s">
        <v>185</v>
      </c>
      <c r="B58" s="191" t="s">
        <v>11</v>
      </c>
      <c r="D58" s="65"/>
      <c r="E58" s="60"/>
    </row>
    <row r="59" spans="1:5" ht="12.75" customHeight="1" thickBot="1">
      <c r="A59" s="45"/>
      <c r="B59" s="193"/>
      <c r="D59" s="64" t="s">
        <v>338</v>
      </c>
      <c r="E59" s="191" t="s">
        <v>11</v>
      </c>
    </row>
    <row r="60" spans="2:5" ht="14.25" customHeight="1" thickBot="1">
      <c r="B60" s="194"/>
      <c r="D60" s="64" t="s">
        <v>339</v>
      </c>
      <c r="E60" s="191" t="s">
        <v>11</v>
      </c>
    </row>
    <row r="61" spans="1:5" ht="13.5" thickBot="1">
      <c r="A61" s="61" t="s">
        <v>175</v>
      </c>
      <c r="B61" s="195" t="s">
        <v>12</v>
      </c>
      <c r="D61" s="64" t="s">
        <v>194</v>
      </c>
      <c r="E61" s="191" t="s">
        <v>11</v>
      </c>
    </row>
    <row r="62" spans="4:5" ht="12.75">
      <c r="D62" s="64" t="s">
        <v>195</v>
      </c>
      <c r="E62" s="191" t="s">
        <v>11</v>
      </c>
    </row>
    <row r="63" spans="4:5" ht="5.25" customHeight="1">
      <c r="D63" s="63"/>
      <c r="E63" s="60"/>
    </row>
    <row r="64" spans="4:5" ht="12.75">
      <c r="D64" s="64" t="s">
        <v>198</v>
      </c>
      <c r="E64" s="191" t="s">
        <v>11</v>
      </c>
    </row>
    <row r="65" spans="4:5" ht="12.75">
      <c r="D65" s="64" t="s">
        <v>199</v>
      </c>
      <c r="E65" s="191" t="s">
        <v>11</v>
      </c>
    </row>
    <row r="66" spans="4:5" ht="6.75" customHeight="1" thickBot="1">
      <c r="D66" s="66"/>
      <c r="E66" s="55"/>
    </row>
    <row r="67" ht="6" customHeight="1" thickBot="1">
      <c r="E67" s="2"/>
    </row>
    <row r="68" spans="4:5" ht="13.5" thickBot="1">
      <c r="D68" s="61" t="s">
        <v>175</v>
      </c>
      <c r="E68" s="195" t="s">
        <v>12</v>
      </c>
    </row>
    <row r="70" ht="12.75">
      <c r="A70" s="157" t="s">
        <v>17</v>
      </c>
    </row>
    <row r="71" spans="1:4" ht="12.75">
      <c r="A71" t="s">
        <v>18</v>
      </c>
      <c r="D71" s="61" t="s">
        <v>15</v>
      </c>
    </row>
    <row r="73" ht="12.75">
      <c r="A73" s="226" t="s">
        <v>141</v>
      </c>
    </row>
    <row r="75" spans="1:4" ht="12.75">
      <c r="A75" s="190" t="s">
        <v>361</v>
      </c>
      <c r="D75" s="210" t="s">
        <v>175</v>
      </c>
    </row>
    <row r="76" ht="12.75">
      <c r="D76" s="70" t="s">
        <v>362</v>
      </c>
    </row>
    <row r="77" ht="6.75" customHeight="1">
      <c r="D77" s="208"/>
    </row>
    <row r="78" spans="1:4" ht="12.75">
      <c r="A78" s="190" t="s">
        <v>364</v>
      </c>
      <c r="D78" s="210" t="s">
        <v>363</v>
      </c>
    </row>
    <row r="79" spans="1:4" ht="12.75">
      <c r="A79" s="5" t="s">
        <v>365</v>
      </c>
      <c r="D79" s="209" t="s">
        <v>175</v>
      </c>
    </row>
    <row r="80" ht="12.75">
      <c r="D80" s="209"/>
    </row>
    <row r="81" ht="12.75">
      <c r="D81" s="209"/>
    </row>
    <row r="82" ht="12.75">
      <c r="D82" s="209"/>
    </row>
    <row r="84" spans="1:5" ht="20.25">
      <c r="A84" s="238" t="s">
        <v>419</v>
      </c>
      <c r="B84" s="238"/>
      <c r="C84" s="238"/>
      <c r="D84" s="238"/>
      <c r="E84" s="238"/>
    </row>
    <row r="86" ht="12.75">
      <c r="A86" s="190" t="s">
        <v>428</v>
      </c>
    </row>
    <row r="88" ht="12.75">
      <c r="A88" s="180" t="s">
        <v>384</v>
      </c>
    </row>
    <row r="89" ht="12.75">
      <c r="A89" s="190"/>
    </row>
    <row r="90" ht="12.75">
      <c r="A90" s="180" t="s">
        <v>405</v>
      </c>
    </row>
    <row r="91" ht="12.75">
      <c r="A91" t="s">
        <v>381</v>
      </c>
    </row>
    <row r="92" spans="1:2" ht="12.75">
      <c r="A92" t="s">
        <v>359</v>
      </c>
      <c r="B92" s="205">
        <v>2050000</v>
      </c>
    </row>
    <row r="93" spans="1:2" ht="12.75">
      <c r="A93" t="s">
        <v>360</v>
      </c>
      <c r="B93" s="205">
        <v>1985000</v>
      </c>
    </row>
  </sheetData>
  <sheetProtection/>
  <mergeCells count="4">
    <mergeCell ref="A44:B44"/>
    <mergeCell ref="D44:E44"/>
    <mergeCell ref="A1:F1"/>
    <mergeCell ref="A84:E84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40">
      <selection activeCell="D48" sqref="D48"/>
    </sheetView>
  </sheetViews>
  <sheetFormatPr defaultColWidth="11.421875" defaultRowHeight="12.75"/>
  <cols>
    <col min="1" max="1" width="54.8515625" style="0" customWidth="1"/>
    <col min="2" max="2" width="12.7109375" style="0" bestFit="1" customWidth="1"/>
    <col min="3" max="3" width="2.421875" style="0" customWidth="1"/>
    <col min="4" max="4" width="53.421875" style="0" customWidth="1"/>
    <col min="5" max="5" width="14.28125" style="0" customWidth="1"/>
  </cols>
  <sheetData>
    <row r="1" spans="1:5" ht="18">
      <c r="A1" s="243" t="s">
        <v>429</v>
      </c>
      <c r="B1" s="243"/>
      <c r="C1" s="243"/>
      <c r="D1" s="243"/>
      <c r="E1" s="243"/>
    </row>
    <row r="2" ht="6" customHeight="1" thickBot="1"/>
    <row r="3" spans="1:5" ht="21" thickBot="1">
      <c r="A3" s="241" t="s">
        <v>182</v>
      </c>
      <c r="B3" s="242"/>
      <c r="D3" s="241" t="s">
        <v>187</v>
      </c>
      <c r="E3" s="242"/>
    </row>
    <row r="4" spans="1:5" ht="12.75">
      <c r="A4" s="52"/>
      <c r="B4" s="53"/>
      <c r="D4" s="63"/>
      <c r="E4" s="53"/>
    </row>
    <row r="5" spans="1:5" ht="12.75">
      <c r="A5" s="62" t="s">
        <v>188</v>
      </c>
      <c r="B5" s="59">
        <f>SIG!D20</f>
        <v>1174915.9299999997</v>
      </c>
      <c r="D5" s="67" t="s">
        <v>162</v>
      </c>
      <c r="E5" s="59">
        <f>CPTERESULTAT!B36</f>
        <v>370232.00000000093</v>
      </c>
    </row>
    <row r="6" spans="1:5" ht="12.75">
      <c r="A6" s="56"/>
      <c r="B6" s="59"/>
      <c r="D6" s="63"/>
      <c r="E6" s="54"/>
    </row>
    <row r="7" spans="1:5" ht="12.75">
      <c r="A7" s="57" t="s">
        <v>193</v>
      </c>
      <c r="B7" s="59">
        <f>CPTERESULTAT!E14</f>
        <v>0</v>
      </c>
      <c r="D7" s="64" t="s">
        <v>190</v>
      </c>
      <c r="E7" s="59">
        <f>CPTERESULTAT!B30</f>
        <v>8225</v>
      </c>
    </row>
    <row r="8" spans="1:5" ht="12.75">
      <c r="A8" s="57" t="s">
        <v>183</v>
      </c>
      <c r="B8" s="59">
        <f>-CPTERESULTAT!B18</f>
        <v>-31210</v>
      </c>
      <c r="D8" s="64" t="s">
        <v>191</v>
      </c>
      <c r="E8" s="59">
        <f>-CPTERESULTAT!E32</f>
        <v>-12000</v>
      </c>
    </row>
    <row r="9" spans="1:5" ht="12.75">
      <c r="A9" s="56"/>
      <c r="B9" s="60"/>
      <c r="D9" s="63"/>
      <c r="E9" s="60"/>
    </row>
    <row r="10" spans="1:5" ht="12.75">
      <c r="A10" s="56"/>
      <c r="B10" s="60"/>
      <c r="D10" s="64" t="s">
        <v>197</v>
      </c>
      <c r="E10" s="59">
        <f>CPTERESULTAT!B22</f>
        <v>36012</v>
      </c>
    </row>
    <row r="11" spans="1:5" ht="12.75">
      <c r="A11" s="56"/>
      <c r="B11" s="60"/>
      <c r="D11" s="64" t="s">
        <v>196</v>
      </c>
      <c r="E11" s="59">
        <f>-CPTERESULTAT!E25</f>
        <v>-12200</v>
      </c>
    </row>
    <row r="12" spans="1:5" ht="12.75">
      <c r="A12" s="57" t="s">
        <v>202</v>
      </c>
      <c r="B12" s="59">
        <f>CPTERESULTAT!E24</f>
        <v>64812</v>
      </c>
      <c r="D12" s="63"/>
      <c r="E12" s="60"/>
    </row>
    <row r="13" spans="1:5" ht="12.75">
      <c r="A13" s="57" t="s">
        <v>203</v>
      </c>
      <c r="B13" s="59">
        <f>-CPTERESULTAT!B23</f>
        <v>-80624</v>
      </c>
      <c r="D13" s="64" t="s">
        <v>200</v>
      </c>
      <c r="E13" s="59">
        <f>SUM(CPTERESULTAT!B14:B17)</f>
        <v>385500</v>
      </c>
    </row>
    <row r="14" spans="1:5" ht="12.75">
      <c r="A14" s="56"/>
      <c r="B14" s="60"/>
      <c r="D14" s="64" t="s">
        <v>201</v>
      </c>
      <c r="E14" s="59">
        <f>-CPTERESULTAT!E13</f>
        <v>-10000</v>
      </c>
    </row>
    <row r="15" spans="1:5" ht="12.75">
      <c r="A15" s="57" t="s">
        <v>189</v>
      </c>
      <c r="B15" s="59">
        <f>CPTERESULTAT!E30</f>
        <v>8000</v>
      </c>
      <c r="D15" s="63"/>
      <c r="E15" s="60"/>
    </row>
    <row r="16" spans="1:5" ht="12.75">
      <c r="A16" s="57" t="s">
        <v>186</v>
      </c>
      <c r="B16" s="59">
        <f>-CPTERESULTAT!B28</f>
        <v>-8084</v>
      </c>
      <c r="D16" s="64" t="s">
        <v>192</v>
      </c>
      <c r="E16" s="59">
        <f>CPTERESULTAT!E20</f>
        <v>0</v>
      </c>
    </row>
    <row r="17" spans="1:5" ht="12.75">
      <c r="A17" s="56"/>
      <c r="B17" s="60"/>
      <c r="D17" s="65"/>
      <c r="E17" s="60"/>
    </row>
    <row r="18" spans="1:5" ht="12.75">
      <c r="A18" s="57" t="s">
        <v>184</v>
      </c>
      <c r="B18" s="59">
        <f>-CPTERESULTAT!B32</f>
        <v>-122120</v>
      </c>
      <c r="D18" s="64" t="s">
        <v>338</v>
      </c>
      <c r="E18" s="59">
        <f>-CPTERESULTAT!E31</f>
        <v>-260775.07</v>
      </c>
    </row>
    <row r="19" spans="1:5" ht="12.75">
      <c r="A19" s="57" t="s">
        <v>185</v>
      </c>
      <c r="B19" s="59">
        <f>-CPTERESULTAT!B33</f>
        <v>-341720</v>
      </c>
      <c r="D19" s="64" t="s">
        <v>339</v>
      </c>
      <c r="E19" s="59">
        <f>CPTERESULTAT!B29</f>
        <v>155280</v>
      </c>
    </row>
    <row r="20" spans="1:5" ht="12.75">
      <c r="A20" s="57"/>
      <c r="B20" s="59"/>
      <c r="D20" s="64" t="s">
        <v>194</v>
      </c>
      <c r="E20" s="59">
        <f>CPTERESULTAT!B25</f>
        <v>14860</v>
      </c>
    </row>
    <row r="21" spans="1:5" ht="12.75">
      <c r="A21" s="57"/>
      <c r="B21" s="59"/>
      <c r="D21" s="64" t="s">
        <v>195</v>
      </c>
      <c r="E21" s="59">
        <f>-CPTERESULTAT!E27</f>
        <v>-10000</v>
      </c>
    </row>
    <row r="22" spans="1:5" ht="12.75">
      <c r="A22" s="57"/>
      <c r="B22" s="59"/>
      <c r="D22" s="63"/>
      <c r="E22" s="60"/>
    </row>
    <row r="23" spans="1:5" ht="12.75">
      <c r="A23" s="57"/>
      <c r="B23" s="59"/>
      <c r="D23" s="64" t="s">
        <v>198</v>
      </c>
      <c r="E23" s="59">
        <f>CPTERESULTAT!B24</f>
        <v>8000</v>
      </c>
    </row>
    <row r="24" spans="1:5" ht="12.75">
      <c r="A24" s="57"/>
      <c r="B24" s="59"/>
      <c r="D24" s="64" t="s">
        <v>199</v>
      </c>
      <c r="E24" s="59">
        <f>-CPTERESULTAT!E26</f>
        <v>-9164</v>
      </c>
    </row>
    <row r="25" spans="1:5" ht="13.5" thickBot="1">
      <c r="A25" s="45"/>
      <c r="B25" s="55"/>
      <c r="D25" s="66"/>
      <c r="E25" s="55"/>
    </row>
    <row r="26" ht="13.5" thickBot="1">
      <c r="E26" s="2"/>
    </row>
    <row r="27" spans="1:5" ht="13.5" thickBot="1">
      <c r="A27" s="61" t="s">
        <v>175</v>
      </c>
      <c r="B27" s="58">
        <f>SUM(B5:B19)</f>
        <v>663969.9299999997</v>
      </c>
      <c r="D27" s="61" t="s">
        <v>175</v>
      </c>
      <c r="E27" s="58">
        <f>SUM(E5:E24)</f>
        <v>663969.9300000009</v>
      </c>
    </row>
    <row r="28" spans="1:5" ht="12.75">
      <c r="A28" s="61"/>
      <c r="B28" s="202"/>
      <c r="D28" s="61"/>
      <c r="E28" s="202"/>
    </row>
    <row r="29" spans="1:5" ht="18">
      <c r="A29" s="243" t="s">
        <v>430</v>
      </c>
      <c r="B29" s="243"/>
      <c r="C29" s="243"/>
      <c r="D29" s="243"/>
      <c r="E29" s="243"/>
    </row>
    <row r="30" ht="6.75" customHeight="1" thickBot="1"/>
    <row r="31" spans="1:5" ht="21" thickBot="1">
      <c r="A31" s="241" t="s">
        <v>182</v>
      </c>
      <c r="B31" s="242"/>
      <c r="D31" s="241" t="s">
        <v>187</v>
      </c>
      <c r="E31" s="242"/>
    </row>
    <row r="32" spans="1:5" ht="12.75">
      <c r="A32" s="52"/>
      <c r="B32" s="53"/>
      <c r="D32" s="63"/>
      <c r="E32" s="53"/>
    </row>
    <row r="33" spans="1:5" ht="12.75">
      <c r="A33" s="62" t="s">
        <v>188</v>
      </c>
      <c r="B33" s="59">
        <f>SIG!D64</f>
        <v>1243865.81</v>
      </c>
      <c r="D33" s="67" t="s">
        <v>162</v>
      </c>
      <c r="E33" s="59">
        <f>CPTERESULTAT!C36</f>
        <v>384951.6000000015</v>
      </c>
    </row>
    <row r="34" spans="1:5" ht="12.75">
      <c r="A34" s="56"/>
      <c r="B34" s="59"/>
      <c r="D34" s="63"/>
      <c r="E34" s="54"/>
    </row>
    <row r="35" spans="1:5" ht="12.75">
      <c r="A35" s="57" t="s">
        <v>193</v>
      </c>
      <c r="B35" s="59">
        <f>CPTERESULTAT!F14</f>
        <v>0</v>
      </c>
      <c r="D35" s="64" t="s">
        <v>190</v>
      </c>
      <c r="E35" s="59">
        <f>CPTERESULTAT!C30</f>
        <v>7430</v>
      </c>
    </row>
    <row r="36" spans="1:5" ht="12.75">
      <c r="A36" s="57" t="s">
        <v>183</v>
      </c>
      <c r="B36" s="59">
        <f>-CPTERESULTAT!C18</f>
        <v>-34331</v>
      </c>
      <c r="D36" s="64" t="s">
        <v>191</v>
      </c>
      <c r="E36" s="59">
        <f>-CPTERESULTAT!F32</f>
        <v>-10800</v>
      </c>
    </row>
    <row r="37" spans="1:5" ht="12.75">
      <c r="A37" s="56"/>
      <c r="B37" s="60"/>
      <c r="D37" s="63"/>
      <c r="E37" s="60"/>
    </row>
    <row r="38" spans="1:5" ht="12.75">
      <c r="A38" s="56"/>
      <c r="B38" s="60"/>
      <c r="D38" s="64" t="s">
        <v>197</v>
      </c>
      <c r="E38" s="59">
        <f>CPTERESULTAT!C22</f>
        <v>29940</v>
      </c>
    </row>
    <row r="39" spans="1:5" ht="12.75">
      <c r="A39" s="56"/>
      <c r="B39" s="60"/>
      <c r="D39" s="64" t="s">
        <v>196</v>
      </c>
      <c r="E39" s="59">
        <f>-CPTERESULTAT!F25</f>
        <v>-11000</v>
      </c>
    </row>
    <row r="40" spans="1:5" ht="12.75">
      <c r="A40" s="57" t="s">
        <v>202</v>
      </c>
      <c r="B40" s="59">
        <f>CPTERESULTAT!F24</f>
        <v>61571.4</v>
      </c>
      <c r="D40" s="63"/>
      <c r="E40" s="60"/>
    </row>
    <row r="41" spans="1:5" ht="12.75">
      <c r="A41" s="57" t="s">
        <v>203</v>
      </c>
      <c r="B41" s="59">
        <f>-CPTERESULTAT!C23</f>
        <v>-81030</v>
      </c>
      <c r="D41" s="64" t="s">
        <v>200</v>
      </c>
      <c r="E41" s="59">
        <f>SUM(CPTERESULTAT!C14:C17)</f>
        <v>305481</v>
      </c>
    </row>
    <row r="42" spans="1:5" ht="12.75">
      <c r="A42" s="56"/>
      <c r="B42" s="60"/>
      <c r="D42" s="64" t="s">
        <v>201</v>
      </c>
      <c r="E42" s="59">
        <f>-CPTERESULTAT!F13</f>
        <v>-9500</v>
      </c>
    </row>
    <row r="43" spans="1:5" ht="12.75">
      <c r="A43" s="57" t="s">
        <v>189</v>
      </c>
      <c r="B43" s="59">
        <f>CPTERESULTAT!F30</f>
        <v>7360</v>
      </c>
      <c r="D43" s="63"/>
      <c r="E43" s="60"/>
    </row>
    <row r="44" spans="1:5" ht="12.75">
      <c r="A44" s="57" t="s">
        <v>186</v>
      </c>
      <c r="B44" s="59">
        <f>-CPTERESULTAT!C28</f>
        <v>-53220</v>
      </c>
      <c r="D44" s="64" t="s">
        <v>192</v>
      </c>
      <c r="E44" s="59">
        <f>CPTERESULTAT!F20</f>
        <v>0</v>
      </c>
    </row>
    <row r="45" spans="1:5" ht="12.75">
      <c r="A45" s="56"/>
      <c r="B45" s="60"/>
      <c r="D45" s="65"/>
      <c r="E45" s="60"/>
    </row>
    <row r="46" spans="1:5" ht="12.75">
      <c r="A46" s="57" t="s">
        <v>184</v>
      </c>
      <c r="B46" s="59">
        <f>-CPTERESULTAT!C32</f>
        <v>-97696</v>
      </c>
      <c r="D46" s="64" t="s">
        <v>338</v>
      </c>
      <c r="E46" s="59">
        <f>-CPTERESULTAT!F31</f>
        <v>-56088.13</v>
      </c>
    </row>
    <row r="47" spans="1:5" ht="12.75">
      <c r="A47" s="57" t="s">
        <v>185</v>
      </c>
      <c r="B47" s="59">
        <f>-CPTERESULTAT!C33</f>
        <v>-310965.2</v>
      </c>
      <c r="D47" s="64" t="s">
        <v>339</v>
      </c>
      <c r="E47" s="59">
        <f>CPTERESULTAT!C29</f>
        <v>93780.1</v>
      </c>
    </row>
    <row r="48" spans="1:5" ht="12.75">
      <c r="A48" s="57"/>
      <c r="B48" s="59"/>
      <c r="D48" s="64" t="s">
        <v>194</v>
      </c>
      <c r="E48" s="59">
        <f>CPTERESULTAT!C25</f>
        <v>16116.14</v>
      </c>
    </row>
    <row r="49" spans="1:5" ht="12.75">
      <c r="A49" s="57"/>
      <c r="B49" s="59"/>
      <c r="D49" s="64" t="s">
        <v>195</v>
      </c>
      <c r="E49" s="59">
        <f>-CPTERESULTAT!F27</f>
        <v>-18000.8</v>
      </c>
    </row>
    <row r="50" spans="1:5" ht="12.75">
      <c r="A50" s="57"/>
      <c r="B50" s="59"/>
      <c r="D50" s="63"/>
      <c r="E50" s="60"/>
    </row>
    <row r="51" spans="1:5" ht="12.75">
      <c r="A51" s="57"/>
      <c r="B51" s="59"/>
      <c r="D51" s="64" t="s">
        <v>198</v>
      </c>
      <c r="E51" s="59">
        <f>CPTERESULTAT!C24</f>
        <v>4040.1</v>
      </c>
    </row>
    <row r="52" spans="1:5" ht="12.75">
      <c r="A52" s="57"/>
      <c r="B52" s="59"/>
      <c r="D52" s="64" t="s">
        <v>199</v>
      </c>
      <c r="E52" s="59">
        <f>-CPTERESULTAT!F26</f>
        <v>-795</v>
      </c>
    </row>
    <row r="53" spans="1:5" ht="13.5" thickBot="1">
      <c r="A53" s="45"/>
      <c r="B53" s="55"/>
      <c r="D53" s="66"/>
      <c r="E53" s="55"/>
    </row>
    <row r="54" ht="5.25" customHeight="1" thickBot="1">
      <c r="E54" s="2"/>
    </row>
    <row r="55" spans="1:5" ht="13.5" thickBot="1">
      <c r="A55" s="61" t="s">
        <v>175</v>
      </c>
      <c r="B55" s="58">
        <f>SUM(B33:B47)</f>
        <v>735555.01</v>
      </c>
      <c r="D55" s="61" t="s">
        <v>175</v>
      </c>
      <c r="E55" s="58">
        <f>SUM(E33:E52)</f>
        <v>735555.0100000014</v>
      </c>
    </row>
    <row r="57" spans="1:5" ht="18">
      <c r="A57" s="228" t="s">
        <v>431</v>
      </c>
      <c r="B57" s="194"/>
      <c r="C57" s="194"/>
      <c r="D57" s="194"/>
      <c r="E57" s="194"/>
    </row>
    <row r="59" ht="12.75">
      <c r="A59" s="190" t="s">
        <v>355</v>
      </c>
    </row>
    <row r="60" ht="7.5" customHeight="1" thickBot="1"/>
    <row r="61" spans="1:4" ht="12.75">
      <c r="A61" s="199" t="s">
        <v>213</v>
      </c>
      <c r="B61" s="196">
        <f>B27/SIG!D13</f>
        <v>0.19887922944371156</v>
      </c>
      <c r="D61" s="5" t="s">
        <v>406</v>
      </c>
    </row>
    <row r="62" spans="1:4" ht="13.5" thickBot="1">
      <c r="A62" s="200" t="s">
        <v>212</v>
      </c>
      <c r="B62" s="197">
        <f>B55/SIG!D57</f>
        <v>0.2255158900301933</v>
      </c>
      <c r="D62" s="5" t="s">
        <v>407</v>
      </c>
    </row>
    <row r="64" ht="12.75">
      <c r="A64" s="198" t="s">
        <v>356</v>
      </c>
    </row>
    <row r="65" ht="7.5" customHeight="1" thickBot="1"/>
    <row r="66" spans="1:4" ht="12.75">
      <c r="A66" s="199" t="s">
        <v>213</v>
      </c>
      <c r="B66" s="206">
        <f>'COURS CAF'!B93/CAF!B27</f>
        <v>2.989593218476025</v>
      </c>
      <c r="D66" s="5" t="s">
        <v>408</v>
      </c>
    </row>
    <row r="67" spans="1:4" ht="13.5" thickBot="1">
      <c r="A67" s="201" t="s">
        <v>212</v>
      </c>
      <c r="B67" s="207">
        <f>'COURS CAF'!B92/CAF!B55</f>
        <v>2.7870111305475302</v>
      </c>
      <c r="D67" s="5" t="s">
        <v>409</v>
      </c>
    </row>
    <row r="69" ht="12.75">
      <c r="A69" s="61" t="s">
        <v>216</v>
      </c>
    </row>
    <row r="70" ht="13.5" thickBot="1"/>
    <row r="71" spans="1:5" ht="8.25" customHeight="1">
      <c r="A71" s="213"/>
      <c r="B71" s="214"/>
      <c r="C71" s="214"/>
      <c r="D71" s="214"/>
      <c r="E71" s="215"/>
    </row>
    <row r="72" spans="1:5" ht="12.75">
      <c r="A72" s="216" t="s">
        <v>400</v>
      </c>
      <c r="B72" s="217">
        <f>SIG!D13-SIG!D57</f>
        <v>76903.5299999998</v>
      </c>
      <c r="C72" s="218" t="s">
        <v>401</v>
      </c>
      <c r="D72" s="219" t="s">
        <v>403</v>
      </c>
      <c r="E72" s="53"/>
    </row>
    <row r="73" spans="1:5" ht="12.75">
      <c r="A73" s="220" t="s">
        <v>414</v>
      </c>
      <c r="B73" s="221">
        <f>B61-B62</f>
        <v>-0.02663666058648173</v>
      </c>
      <c r="C73" s="222" t="s">
        <v>404</v>
      </c>
      <c r="D73" s="219"/>
      <c r="E73" s="53"/>
    </row>
    <row r="74" spans="1:5" ht="12.75">
      <c r="A74" s="220" t="s">
        <v>410</v>
      </c>
      <c r="B74" s="221"/>
      <c r="C74" s="222"/>
      <c r="D74" s="219"/>
      <c r="E74" s="53"/>
    </row>
    <row r="75" spans="1:5" ht="12.75">
      <c r="A75" s="220" t="s">
        <v>415</v>
      </c>
      <c r="B75" s="221"/>
      <c r="C75" s="222"/>
      <c r="D75" s="219"/>
      <c r="E75" s="53"/>
    </row>
    <row r="76" spans="1:5" ht="12.75">
      <c r="A76" s="220" t="s">
        <v>413</v>
      </c>
      <c r="B76" s="217">
        <f>ABS(CPTERESULTAT!B6+CPTERESULTAT!B8)</f>
        <v>35935</v>
      </c>
      <c r="C76" s="222"/>
      <c r="D76" s="219"/>
      <c r="E76" s="223"/>
    </row>
    <row r="77" spans="1:5" ht="6" customHeight="1">
      <c r="A77" s="220"/>
      <c r="B77" s="221"/>
      <c r="C77" s="222"/>
      <c r="D77" s="219"/>
      <c r="E77" s="53"/>
    </row>
    <row r="78" spans="1:5" ht="12.75">
      <c r="A78" s="216" t="s">
        <v>411</v>
      </c>
      <c r="B78" s="4"/>
      <c r="C78" s="4"/>
      <c r="D78" s="4"/>
      <c r="E78" s="53"/>
    </row>
    <row r="79" spans="1:5" ht="12.75">
      <c r="A79" s="220" t="s">
        <v>366</v>
      </c>
      <c r="B79" s="4"/>
      <c r="C79" s="4"/>
      <c r="D79" s="4"/>
      <c r="E79" s="53"/>
    </row>
    <row r="80" spans="1:5" ht="12.75">
      <c r="A80" s="220" t="s">
        <v>398</v>
      </c>
      <c r="B80" s="4"/>
      <c r="C80" s="4"/>
      <c r="D80" s="4"/>
      <c r="E80" s="53"/>
    </row>
    <row r="81" spans="1:5" ht="12.75">
      <c r="A81" s="220" t="s">
        <v>399</v>
      </c>
      <c r="B81" s="4"/>
      <c r="C81" s="4"/>
      <c r="D81" s="4"/>
      <c r="E81" s="53"/>
    </row>
    <row r="82" spans="1:5" ht="12.75">
      <c r="A82" s="220" t="s">
        <v>367</v>
      </c>
      <c r="B82" s="4"/>
      <c r="C82" s="4"/>
      <c r="D82" s="4"/>
      <c r="E82" s="53"/>
    </row>
    <row r="83" spans="1:5" ht="13.5" thickBot="1">
      <c r="A83" s="66"/>
      <c r="B83" s="224"/>
      <c r="C83" s="224"/>
      <c r="D83" s="224"/>
      <c r="E83" s="55"/>
    </row>
    <row r="84" ht="12.75">
      <c r="A84" s="211" t="s">
        <v>402</v>
      </c>
    </row>
  </sheetData>
  <sheetProtection/>
  <mergeCells count="6">
    <mergeCell ref="A3:B3"/>
    <mergeCell ref="D3:E3"/>
    <mergeCell ref="A31:B31"/>
    <mergeCell ref="D31:E31"/>
    <mergeCell ref="A1:E1"/>
    <mergeCell ref="A29:E29"/>
  </mergeCells>
  <printOptions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  <rowBreaks count="2" manualBreakCount="2">
    <brk id="28" max="255" man="1"/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40.00390625" style="0" customWidth="1"/>
    <col min="2" max="2" width="17.140625" style="0" customWidth="1"/>
    <col min="3" max="3" width="13.00390625" style="0" customWidth="1"/>
    <col min="6" max="6" width="7.140625" style="0" customWidth="1"/>
  </cols>
  <sheetData>
    <row r="1" spans="1:7" ht="20.25">
      <c r="A1" s="244" t="s">
        <v>432</v>
      </c>
      <c r="B1" s="244"/>
      <c r="C1" s="244"/>
      <c r="D1" s="244"/>
      <c r="E1" s="244"/>
      <c r="F1" s="244"/>
      <c r="G1" s="245"/>
    </row>
    <row r="3" ht="15.75">
      <c r="A3" s="246" t="s">
        <v>253</v>
      </c>
    </row>
    <row r="5" ht="12.75">
      <c r="A5" t="s">
        <v>433</v>
      </c>
    </row>
    <row r="6" ht="12.75">
      <c r="A6" t="s">
        <v>434</v>
      </c>
    </row>
    <row r="7" ht="12.75">
      <c r="A7" t="s">
        <v>435</v>
      </c>
    </row>
    <row r="9" spans="1:2" ht="12.75">
      <c r="A9" s="247" t="s">
        <v>436</v>
      </c>
      <c r="B9" s="4"/>
    </row>
    <row r="10" ht="12.75">
      <c r="B10" s="4"/>
    </row>
    <row r="11" spans="1:5" ht="12.75">
      <c r="A11" s="248" t="s">
        <v>437</v>
      </c>
      <c r="B11" s="4"/>
      <c r="E11" s="162" t="s">
        <v>438</v>
      </c>
    </row>
    <row r="12" spans="2:5" ht="12.75">
      <c r="B12" s="4"/>
      <c r="E12" s="24" t="s">
        <v>439</v>
      </c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spans="2:5" ht="12.75">
      <c r="B17" s="4"/>
      <c r="C17" s="4"/>
      <c r="D17" s="4"/>
      <c r="E17" t="s">
        <v>440</v>
      </c>
    </row>
    <row r="19" ht="12.75">
      <c r="D19" s="248" t="s">
        <v>441</v>
      </c>
    </row>
    <row r="21" ht="12.75">
      <c r="A21" t="s">
        <v>442</v>
      </c>
    </row>
    <row r="22" ht="12.75">
      <c r="A22" s="158" t="s">
        <v>443</v>
      </c>
    </row>
    <row r="23" ht="12.75">
      <c r="A23" s="158" t="s">
        <v>444</v>
      </c>
    </row>
    <row r="25" ht="12.75">
      <c r="A25" s="247" t="s">
        <v>436</v>
      </c>
    </row>
    <row r="27" ht="12.75">
      <c r="A27" s="248" t="s">
        <v>445</v>
      </c>
    </row>
    <row r="29" spans="1:5" ht="12.75">
      <c r="A29" s="249" t="s">
        <v>446</v>
      </c>
      <c r="E29" t="s">
        <v>447</v>
      </c>
    </row>
    <row r="33" ht="12.75">
      <c r="E33" t="s">
        <v>440</v>
      </c>
    </row>
    <row r="35" ht="12.75">
      <c r="D35" s="248" t="s">
        <v>441</v>
      </c>
    </row>
    <row r="37" ht="12.75">
      <c r="A37" t="s">
        <v>448</v>
      </c>
    </row>
    <row r="38" ht="12.75">
      <c r="A38" t="s">
        <v>449</v>
      </c>
    </row>
    <row r="39" ht="12.75">
      <c r="A39" t="s">
        <v>450</v>
      </c>
    </row>
    <row r="40" ht="12.75">
      <c r="A40" s="162" t="s">
        <v>451</v>
      </c>
    </row>
    <row r="42" ht="12.75">
      <c r="A42" t="s">
        <v>452</v>
      </c>
    </row>
    <row r="43" ht="12.75">
      <c r="A43" t="s">
        <v>453</v>
      </c>
    </row>
    <row r="45" ht="12.75">
      <c r="A45" t="s">
        <v>454</v>
      </c>
    </row>
    <row r="46" ht="5.25" customHeight="1">
      <c r="A46" t="s">
        <v>455</v>
      </c>
    </row>
    <row r="47" ht="12.75">
      <c r="A47" t="s">
        <v>456</v>
      </c>
    </row>
    <row r="48" ht="12.75">
      <c r="A48" t="s">
        <v>457</v>
      </c>
    </row>
    <row r="49" ht="12.75">
      <c r="A49" t="s">
        <v>458</v>
      </c>
    </row>
    <row r="50" ht="5.25" customHeight="1"/>
    <row r="51" ht="12.75">
      <c r="A51" t="s">
        <v>459</v>
      </c>
    </row>
    <row r="52" ht="7.5" customHeight="1"/>
    <row r="53" spans="1:3" ht="16.5" customHeight="1">
      <c r="A53" s="158" t="s">
        <v>460</v>
      </c>
      <c r="B53" s="158"/>
      <c r="C53" s="162" t="s">
        <v>461</v>
      </c>
    </row>
    <row r="54" spans="1:2" ht="12.75">
      <c r="A54" s="190" t="s">
        <v>462</v>
      </c>
      <c r="B54" s="158"/>
    </row>
    <row r="55" spans="1:2" ht="6.75" customHeight="1">
      <c r="A55" s="190"/>
      <c r="B55" s="158"/>
    </row>
    <row r="56" ht="12.75">
      <c r="A56" t="s">
        <v>463</v>
      </c>
    </row>
    <row r="58" ht="15.75">
      <c r="A58" s="246" t="s">
        <v>464</v>
      </c>
    </row>
    <row r="60" ht="12.75">
      <c r="A60" t="s">
        <v>465</v>
      </c>
    </row>
    <row r="62" spans="1:5" ht="12.75">
      <c r="A62" s="190" t="s">
        <v>466</v>
      </c>
      <c r="E62" s="205">
        <v>1041000</v>
      </c>
    </row>
    <row r="63" spans="1:5" ht="12.75">
      <c r="A63" s="190" t="s">
        <v>25</v>
      </c>
      <c r="E63" s="205">
        <v>555000</v>
      </c>
    </row>
    <row r="64" spans="1:5" ht="12.75">
      <c r="A64" s="190" t="s">
        <v>467</v>
      </c>
      <c r="E64" s="205">
        <v>41150</v>
      </c>
    </row>
    <row r="65" spans="1:5" ht="12.75">
      <c r="A65" s="190" t="s">
        <v>468</v>
      </c>
      <c r="E65" s="205">
        <v>24250</v>
      </c>
    </row>
    <row r="66" spans="1:5" ht="12.75">
      <c r="A66" s="190" t="s">
        <v>469</v>
      </c>
      <c r="E66" s="205">
        <v>31800</v>
      </c>
    </row>
    <row r="67" spans="1:5" ht="12.75">
      <c r="A67" s="190" t="s">
        <v>470</v>
      </c>
      <c r="E67" s="205">
        <v>51000</v>
      </c>
    </row>
    <row r="68" spans="1:5" ht="12.75">
      <c r="A68" s="190" t="s">
        <v>471</v>
      </c>
      <c r="E68" s="205">
        <v>65700</v>
      </c>
    </row>
    <row r="69" spans="1:5" ht="12.75">
      <c r="A69" s="190" t="s">
        <v>472</v>
      </c>
      <c r="E69" s="205">
        <v>87200</v>
      </c>
    </row>
    <row r="70" spans="1:5" ht="12.75">
      <c r="A70" s="190" t="s">
        <v>445</v>
      </c>
      <c r="E70" s="205">
        <v>141000</v>
      </c>
    </row>
    <row r="72" spans="1:6" ht="12.75">
      <c r="A72" s="250" t="s">
        <v>473</v>
      </c>
      <c r="B72" s="250"/>
      <c r="C72" s="250"/>
      <c r="D72" s="250"/>
      <c r="E72" s="250"/>
      <c r="F72" s="250"/>
    </row>
    <row r="74" ht="12.75">
      <c r="A74" s="158" t="s">
        <v>474</v>
      </c>
    </row>
    <row r="80" spans="1:7" ht="18">
      <c r="A80" s="251" t="s">
        <v>475</v>
      </c>
      <c r="B80" s="251"/>
      <c r="C80" s="251"/>
      <c r="D80" s="251"/>
      <c r="E80" s="251"/>
      <c r="F80" s="251"/>
      <c r="G80" s="252"/>
    </row>
    <row r="81" spans="1:7" ht="9.75" customHeight="1" thickBot="1">
      <c r="A81" s="253"/>
      <c r="B81" s="253"/>
      <c r="C81" s="253"/>
      <c r="D81" s="253"/>
      <c r="E81" s="253"/>
      <c r="F81" s="253"/>
      <c r="G81" s="252"/>
    </row>
    <row r="82" spans="1:6" ht="12.75">
      <c r="A82" s="254"/>
      <c r="B82" s="255"/>
      <c r="C82" s="256"/>
      <c r="D82" s="257"/>
      <c r="E82" s="257"/>
      <c r="F82" s="258"/>
    </row>
    <row r="83" spans="1:6" ht="12.75">
      <c r="A83" s="259" t="s">
        <v>441</v>
      </c>
      <c r="B83" s="185" t="s">
        <v>476</v>
      </c>
      <c r="C83" s="260"/>
      <c r="D83" s="261"/>
      <c r="E83" s="262">
        <f>E62-E67</f>
        <v>990000</v>
      </c>
      <c r="F83" s="263"/>
    </row>
    <row r="84" spans="1:6" ht="12.75">
      <c r="A84" s="259" t="s">
        <v>477</v>
      </c>
      <c r="B84" s="185" t="s">
        <v>478</v>
      </c>
      <c r="C84" s="260"/>
      <c r="D84" s="262">
        <f>E63-E66</f>
        <v>523200</v>
      </c>
      <c r="E84" s="261"/>
      <c r="F84" s="263"/>
    </row>
    <row r="85" spans="1:6" ht="12.75">
      <c r="A85" s="259" t="s">
        <v>479</v>
      </c>
      <c r="B85" s="4"/>
      <c r="C85" s="260"/>
      <c r="D85" s="264">
        <f>E68</f>
        <v>65700</v>
      </c>
      <c r="E85" s="261"/>
      <c r="F85" s="263"/>
    </row>
    <row r="86" spans="1:6" ht="12.75">
      <c r="A86" s="265" t="s">
        <v>480</v>
      </c>
      <c r="B86" s="4"/>
      <c r="C86" s="260"/>
      <c r="D86" s="266">
        <f>D84+D85</f>
        <v>588900</v>
      </c>
      <c r="E86" s="267"/>
      <c r="F86" s="263"/>
    </row>
    <row r="87" spans="1:6" ht="12.75">
      <c r="A87" s="259" t="s">
        <v>481</v>
      </c>
      <c r="B87" s="185" t="s">
        <v>482</v>
      </c>
      <c r="C87" s="260"/>
      <c r="D87" s="264">
        <f>E64-E65</f>
        <v>16900</v>
      </c>
      <c r="E87" s="267"/>
      <c r="F87" s="263"/>
    </row>
    <row r="88" spans="1:6" ht="12.75">
      <c r="A88" s="265" t="s">
        <v>483</v>
      </c>
      <c r="B88" s="4"/>
      <c r="C88" s="260"/>
      <c r="D88" s="266">
        <f>D86+D87</f>
        <v>605800</v>
      </c>
      <c r="E88" s="267"/>
      <c r="F88" s="263"/>
    </row>
    <row r="89" spans="1:6" ht="12.75">
      <c r="A89" s="259" t="s">
        <v>484</v>
      </c>
      <c r="B89" s="4"/>
      <c r="C89" s="260"/>
      <c r="D89" s="264">
        <f>E69</f>
        <v>87200</v>
      </c>
      <c r="E89" s="267"/>
      <c r="F89" s="263"/>
    </row>
    <row r="90" spans="1:6" ht="12.75">
      <c r="A90" s="268" t="s">
        <v>485</v>
      </c>
      <c r="B90" s="4"/>
      <c r="C90" s="260"/>
      <c r="D90" s="269">
        <f>D88+D89</f>
        <v>693000</v>
      </c>
      <c r="E90" s="264">
        <f>D90</f>
        <v>693000</v>
      </c>
      <c r="F90" s="263"/>
    </row>
    <row r="91" spans="1:6" ht="12.75">
      <c r="A91" s="270" t="s">
        <v>486</v>
      </c>
      <c r="B91" s="271" t="s">
        <v>487</v>
      </c>
      <c r="C91" s="272"/>
      <c r="D91" s="273"/>
      <c r="E91" s="274">
        <f>E83-E90</f>
        <v>297000</v>
      </c>
      <c r="F91" s="275">
        <f>E91/E83</f>
        <v>0.3</v>
      </c>
    </row>
    <row r="92" spans="1:6" ht="12.75">
      <c r="A92" s="259" t="s">
        <v>488</v>
      </c>
      <c r="B92" s="4"/>
      <c r="C92" s="260"/>
      <c r="D92" s="267"/>
      <c r="E92" s="264">
        <f>E70</f>
        <v>141000</v>
      </c>
      <c r="F92" s="276" t="s">
        <v>489</v>
      </c>
    </row>
    <row r="93" spans="1:6" ht="12.75">
      <c r="A93" s="277" t="s">
        <v>120</v>
      </c>
      <c r="B93" s="277"/>
      <c r="C93" s="260"/>
      <c r="D93" s="267"/>
      <c r="E93" s="262">
        <f>E91-E92</f>
        <v>156000</v>
      </c>
      <c r="F93" s="263"/>
    </row>
    <row r="94" spans="1:6" ht="13.5" thickBot="1">
      <c r="A94" s="278"/>
      <c r="B94" s="279"/>
      <c r="C94" s="280"/>
      <c r="D94" s="281"/>
      <c r="E94" s="281"/>
      <c r="F94" s="282"/>
    </row>
    <row r="96" ht="12.75">
      <c r="A96" t="s">
        <v>490</v>
      </c>
    </row>
    <row r="97" ht="12.75">
      <c r="A97" t="s">
        <v>491</v>
      </c>
    </row>
    <row r="99" spans="1:5" ht="12.75">
      <c r="A99" s="190" t="s">
        <v>441</v>
      </c>
      <c r="E99" s="205">
        <v>9238580</v>
      </c>
    </row>
    <row r="100" spans="1:5" ht="12.75">
      <c r="A100" s="190" t="s">
        <v>492</v>
      </c>
      <c r="E100" s="205">
        <v>3753000</v>
      </c>
    </row>
    <row r="101" spans="1:5" ht="12.75">
      <c r="A101" s="190" t="s">
        <v>493</v>
      </c>
      <c r="E101" s="205">
        <v>178101</v>
      </c>
    </row>
    <row r="102" spans="1:5" ht="12.75">
      <c r="A102" s="190" t="s">
        <v>494</v>
      </c>
      <c r="E102" s="205">
        <v>150500</v>
      </c>
    </row>
    <row r="103" spans="1:5" ht="12.75">
      <c r="A103" s="190" t="s">
        <v>495</v>
      </c>
      <c r="E103" s="205">
        <v>105860</v>
      </c>
    </row>
    <row r="104" spans="1:5" ht="12.75">
      <c r="A104" s="190" t="s">
        <v>496</v>
      </c>
      <c r="E104" s="205">
        <v>1120000</v>
      </c>
    </row>
    <row r="105" spans="1:5" ht="12.75">
      <c r="A105" s="190" t="s">
        <v>497</v>
      </c>
      <c r="E105" s="205">
        <v>185000</v>
      </c>
    </row>
    <row r="106" spans="1:7" ht="12.75">
      <c r="A106" s="190" t="s">
        <v>498</v>
      </c>
      <c r="E106" s="205">
        <v>307385</v>
      </c>
      <c r="G106" s="283"/>
    </row>
    <row r="107" spans="1:5" ht="12.75">
      <c r="A107" s="190" t="s">
        <v>499</v>
      </c>
      <c r="E107" s="205">
        <v>2419535</v>
      </c>
    </row>
    <row r="108" spans="1:5" ht="12.75">
      <c r="A108" s="190" t="s">
        <v>500</v>
      </c>
      <c r="E108" s="205">
        <v>176491</v>
      </c>
    </row>
    <row r="109" spans="1:5" ht="12.75">
      <c r="A109" s="190" t="s">
        <v>40</v>
      </c>
      <c r="E109" s="205">
        <v>990000</v>
      </c>
    </row>
    <row r="110" ht="12.75">
      <c r="G110" s="283"/>
    </row>
    <row r="111" spans="1:7" ht="12.75">
      <c r="A111" s="250" t="s">
        <v>473</v>
      </c>
      <c r="B111" s="250"/>
      <c r="C111" s="250"/>
      <c r="D111" s="250"/>
      <c r="E111" s="250"/>
      <c r="F111" s="250"/>
      <c r="G111" s="283"/>
    </row>
    <row r="113" ht="12.75">
      <c r="A113" s="158" t="s">
        <v>474</v>
      </c>
    </row>
    <row r="114" ht="12.75">
      <c r="A114" s="158"/>
    </row>
    <row r="115" ht="12.75">
      <c r="A115" s="158"/>
    </row>
    <row r="116" ht="12.75">
      <c r="A116" s="158"/>
    </row>
    <row r="118" spans="1:6" ht="18">
      <c r="A118" s="251" t="s">
        <v>475</v>
      </c>
      <c r="B118" s="251"/>
      <c r="C118" s="251"/>
      <c r="D118" s="251"/>
      <c r="E118" s="251"/>
      <c r="F118" s="251"/>
    </row>
    <row r="119" spans="1:6" ht="18.75" thickBot="1">
      <c r="A119" s="253"/>
      <c r="B119" s="253"/>
      <c r="C119" s="253"/>
      <c r="D119" s="253"/>
      <c r="E119" s="253"/>
      <c r="F119" s="253"/>
    </row>
    <row r="120" spans="1:6" ht="12.75">
      <c r="A120" s="254"/>
      <c r="B120" s="255"/>
      <c r="C120" s="256"/>
      <c r="D120" s="257"/>
      <c r="E120" s="257"/>
      <c r="F120" s="258"/>
    </row>
    <row r="121" spans="1:6" ht="12.75">
      <c r="A121" s="259" t="s">
        <v>441</v>
      </c>
      <c r="B121" s="4"/>
      <c r="C121" s="260"/>
      <c r="D121" s="284"/>
      <c r="E121" s="262">
        <f>E99</f>
        <v>9238580</v>
      </c>
      <c r="F121" s="263"/>
    </row>
    <row r="122" spans="1:6" ht="12.75">
      <c r="A122" s="259" t="s">
        <v>501</v>
      </c>
      <c r="B122" s="4"/>
      <c r="C122" s="260"/>
      <c r="D122" s="262">
        <f>E100</f>
        <v>3753000</v>
      </c>
      <c r="E122" s="284"/>
      <c r="F122" s="263"/>
    </row>
    <row r="123" spans="1:6" ht="12.75">
      <c r="A123" s="259" t="s">
        <v>502</v>
      </c>
      <c r="B123" s="4"/>
      <c r="C123" s="260"/>
      <c r="D123" s="264">
        <f>E102-E103</f>
        <v>44640</v>
      </c>
      <c r="E123" s="284"/>
      <c r="F123" s="263"/>
    </row>
    <row r="124" spans="1:6" ht="12.75">
      <c r="A124" s="265" t="s">
        <v>503</v>
      </c>
      <c r="B124" s="4"/>
      <c r="C124" s="260"/>
      <c r="D124" s="266">
        <f>D122+D123</f>
        <v>3797640</v>
      </c>
      <c r="E124" s="267"/>
      <c r="F124" s="263"/>
    </row>
    <row r="125" spans="1:6" ht="12.75">
      <c r="A125" s="259" t="s">
        <v>504</v>
      </c>
      <c r="B125" s="4"/>
      <c r="C125" s="260"/>
      <c r="D125" s="264">
        <f>E107</f>
        <v>2419535</v>
      </c>
      <c r="E125" s="267"/>
      <c r="F125" s="263"/>
    </row>
    <row r="126" spans="1:6" ht="12.75">
      <c r="A126" s="265" t="s">
        <v>505</v>
      </c>
      <c r="B126" s="4"/>
      <c r="C126" s="260"/>
      <c r="D126" s="266">
        <f>D124+D125</f>
        <v>6217175</v>
      </c>
      <c r="E126" s="267"/>
      <c r="F126" s="263"/>
    </row>
    <row r="127" spans="1:6" ht="12.75">
      <c r="A127" s="259" t="s">
        <v>506</v>
      </c>
      <c r="B127" s="4"/>
      <c r="C127" s="260"/>
      <c r="D127" s="264">
        <f>E105-E106</f>
        <v>-122385</v>
      </c>
      <c r="E127" s="267"/>
      <c r="F127" s="263"/>
    </row>
    <row r="128" spans="1:6" ht="12.75">
      <c r="A128" s="285" t="s">
        <v>507</v>
      </c>
      <c r="B128" s="4"/>
      <c r="C128" s="260"/>
      <c r="D128" s="262"/>
      <c r="E128" s="267"/>
      <c r="F128" s="263"/>
    </row>
    <row r="129" spans="1:6" ht="12.75">
      <c r="A129" s="265" t="s">
        <v>508</v>
      </c>
      <c r="B129" s="4"/>
      <c r="C129" s="260"/>
      <c r="D129" s="266">
        <f>D126+D127</f>
        <v>6094790</v>
      </c>
      <c r="E129" s="267"/>
      <c r="F129" s="263"/>
    </row>
    <row r="130" spans="1:6" ht="12.75">
      <c r="A130" s="259" t="s">
        <v>484</v>
      </c>
      <c r="B130" s="4"/>
      <c r="C130" s="260"/>
      <c r="D130" s="264">
        <f>E108</f>
        <v>176491</v>
      </c>
      <c r="E130" s="267"/>
      <c r="F130" s="263"/>
    </row>
    <row r="131" spans="1:6" ht="12.75">
      <c r="A131" s="268" t="s">
        <v>485</v>
      </c>
      <c r="B131" s="4"/>
      <c r="C131" s="260"/>
      <c r="D131" s="269">
        <f>D129+D130</f>
        <v>6271281</v>
      </c>
      <c r="E131" s="286">
        <f>D131</f>
        <v>6271281</v>
      </c>
      <c r="F131" s="263"/>
    </row>
    <row r="132" spans="1:6" ht="12.75">
      <c r="A132" s="270" t="s">
        <v>486</v>
      </c>
      <c r="B132" s="287"/>
      <c r="C132" s="272"/>
      <c r="D132" s="288"/>
      <c r="E132" s="274">
        <f>E121-E131</f>
        <v>2967299</v>
      </c>
      <c r="F132" s="275">
        <f>E132/E121</f>
        <v>0.3211856151053517</v>
      </c>
    </row>
    <row r="133" spans="1:6" ht="12.75">
      <c r="A133" s="259" t="s">
        <v>509</v>
      </c>
      <c r="B133" s="4"/>
      <c r="C133" s="260"/>
      <c r="D133" s="267"/>
      <c r="E133" s="262">
        <f>-E109</f>
        <v>-990000</v>
      </c>
      <c r="F133" s="276" t="s">
        <v>510</v>
      </c>
    </row>
    <row r="134" spans="1:6" ht="12.75">
      <c r="A134" s="259" t="s">
        <v>511</v>
      </c>
      <c r="B134" s="4"/>
      <c r="C134" s="260"/>
      <c r="D134" s="267"/>
      <c r="E134" s="262">
        <f>-E104</f>
        <v>-1120000</v>
      </c>
      <c r="F134" s="263"/>
    </row>
    <row r="135" spans="1:6" ht="12.75">
      <c r="A135" s="289" t="s">
        <v>512</v>
      </c>
      <c r="B135" s="4"/>
      <c r="C135" s="260"/>
      <c r="D135" s="267"/>
      <c r="E135" s="264">
        <f>-E101</f>
        <v>-178101</v>
      </c>
      <c r="F135" s="263"/>
    </row>
    <row r="136" spans="1:6" ht="12.75">
      <c r="A136" s="290" t="s">
        <v>120</v>
      </c>
      <c r="B136" s="291"/>
      <c r="C136" s="260"/>
      <c r="D136" s="267"/>
      <c r="E136" s="262">
        <f>SUM(E132:E135)</f>
        <v>679198</v>
      </c>
      <c r="F136" s="263"/>
    </row>
    <row r="137" spans="1:6" ht="13.5" thickBot="1">
      <c r="A137" s="278"/>
      <c r="B137" s="279"/>
      <c r="C137" s="280"/>
      <c r="D137" s="281"/>
      <c r="E137" s="281"/>
      <c r="F137" s="282"/>
    </row>
  </sheetData>
  <sheetProtection/>
  <mergeCells count="6">
    <mergeCell ref="A1:F1"/>
    <mergeCell ref="A72:F72"/>
    <mergeCell ref="A80:F80"/>
    <mergeCell ref="A93:B93"/>
    <mergeCell ref="A111:F111"/>
    <mergeCell ref="A118:F11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7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9.57421875" style="0" customWidth="1"/>
    <col min="2" max="2" width="17.57421875" style="0" customWidth="1"/>
    <col min="3" max="3" width="24.7109375" style="0" customWidth="1"/>
    <col min="4" max="4" width="24.57421875" style="0" customWidth="1"/>
    <col min="5" max="5" width="18.140625" style="0" customWidth="1"/>
    <col min="6" max="6" width="15.8515625" style="0" customWidth="1"/>
    <col min="7" max="7" width="11.7109375" style="0" customWidth="1"/>
  </cols>
  <sheetData>
    <row r="1" spans="1:10" ht="20.25">
      <c r="A1" s="244" t="s">
        <v>513</v>
      </c>
      <c r="B1" s="244"/>
      <c r="C1" s="244"/>
      <c r="D1" s="244"/>
      <c r="E1" s="244"/>
      <c r="F1" s="244"/>
      <c r="G1" s="244"/>
      <c r="H1" s="204"/>
      <c r="I1" s="204"/>
      <c r="J1" s="204"/>
    </row>
    <row r="2" spans="1:10" ht="20.25">
      <c r="A2" s="229"/>
      <c r="B2" s="229"/>
      <c r="C2" s="229"/>
      <c r="D2" s="229"/>
      <c r="E2" s="229"/>
      <c r="F2" s="229"/>
      <c r="G2" s="229"/>
      <c r="H2" s="204"/>
      <c r="I2" s="204"/>
      <c r="J2" s="204"/>
    </row>
    <row r="5" ht="15.75">
      <c r="A5" s="246" t="s">
        <v>253</v>
      </c>
    </row>
    <row r="6" ht="14.25" customHeight="1"/>
    <row r="7" ht="12.75">
      <c r="A7" t="s">
        <v>514</v>
      </c>
    </row>
    <row r="8" ht="12.75">
      <c r="A8" t="s">
        <v>515</v>
      </c>
    </row>
    <row r="9" ht="12" customHeight="1" thickBot="1"/>
    <row r="10" spans="2:3" ht="12.75">
      <c r="B10" s="292"/>
      <c r="C10" s="293"/>
    </row>
    <row r="11" spans="2:3" ht="12.75">
      <c r="B11" s="294" t="s">
        <v>516</v>
      </c>
      <c r="C11" s="295"/>
    </row>
    <row r="12" spans="2:3" ht="12.75">
      <c r="B12" s="296" t="s">
        <v>517</v>
      </c>
      <c r="C12" s="297"/>
    </row>
    <row r="13" spans="2:3" ht="12.75">
      <c r="B13" s="294" t="s">
        <v>518</v>
      </c>
      <c r="C13" s="295"/>
    </row>
    <row r="14" spans="2:3" ht="12.75">
      <c r="B14" s="296" t="s">
        <v>519</v>
      </c>
      <c r="C14" s="297"/>
    </row>
    <row r="15" spans="2:3" ht="12.75">
      <c r="B15" s="290" t="s">
        <v>520</v>
      </c>
      <c r="C15" s="295"/>
    </row>
    <row r="16" spans="2:5" ht="13.5" thickBot="1">
      <c r="B16" s="298"/>
      <c r="C16" s="299"/>
      <c r="E16" t="s">
        <v>701</v>
      </c>
    </row>
    <row r="18" ht="12.75">
      <c r="A18" t="s">
        <v>521</v>
      </c>
    </row>
    <row r="19" ht="12.75">
      <c r="A19" t="s">
        <v>522</v>
      </c>
    </row>
    <row r="21" ht="12.75">
      <c r="A21" t="s">
        <v>523</v>
      </c>
    </row>
    <row r="22" ht="6" customHeight="1"/>
    <row r="23" ht="12.75">
      <c r="B23" t="s">
        <v>524</v>
      </c>
    </row>
    <row r="24" ht="12.75">
      <c r="B24" t="s">
        <v>525</v>
      </c>
    </row>
    <row r="25" ht="12.75">
      <c r="B25" t="s">
        <v>526</v>
      </c>
    </row>
    <row r="26" ht="12.75">
      <c r="B26" s="24" t="s">
        <v>527</v>
      </c>
    </row>
    <row r="27" ht="12.75">
      <c r="B27" s="24"/>
    </row>
    <row r="29" ht="15.75">
      <c r="A29" s="246" t="s">
        <v>254</v>
      </c>
    </row>
    <row r="31" ht="12.75">
      <c r="A31" s="300" t="s">
        <v>528</v>
      </c>
    </row>
    <row r="32" ht="6.75" customHeight="1">
      <c r="A32" s="158"/>
    </row>
    <row r="33" ht="12.75">
      <c r="A33" t="s">
        <v>529</v>
      </c>
    </row>
    <row r="34" ht="9" customHeight="1"/>
    <row r="35" spans="1:3" ht="12.75">
      <c r="A35" t="s">
        <v>530</v>
      </c>
      <c r="B35" s="158" t="s">
        <v>531</v>
      </c>
      <c r="C35" s="158" t="s">
        <v>532</v>
      </c>
    </row>
    <row r="36" spans="1:3" ht="12.75">
      <c r="A36" s="301"/>
      <c r="B36" s="291" t="s">
        <v>533</v>
      </c>
      <c r="C36" s="158" t="s">
        <v>534</v>
      </c>
    </row>
    <row r="37" spans="1:3" ht="12.75">
      <c r="A37" s="301"/>
      <c r="B37" s="158" t="s">
        <v>535</v>
      </c>
      <c r="C37" s="158" t="s">
        <v>536</v>
      </c>
    </row>
    <row r="38" spans="1:3" ht="12.75">
      <c r="A38" s="301"/>
      <c r="B38" s="291" t="s">
        <v>537</v>
      </c>
      <c r="C38" s="158" t="s">
        <v>538</v>
      </c>
    </row>
    <row r="39" spans="2:3" ht="12.75">
      <c r="B39" s="158" t="s">
        <v>539</v>
      </c>
      <c r="C39" s="158" t="s">
        <v>540</v>
      </c>
    </row>
    <row r="40" spans="2:3" ht="12.75">
      <c r="B40" s="158" t="s">
        <v>541</v>
      </c>
      <c r="C40" s="158" t="s">
        <v>542</v>
      </c>
    </row>
    <row r="41" spans="2:3" ht="12.75" customHeight="1">
      <c r="B41" s="158"/>
      <c r="C41" s="158"/>
    </row>
    <row r="42" ht="12.75">
      <c r="A42" t="s">
        <v>543</v>
      </c>
    </row>
    <row r="43" ht="7.5" customHeight="1"/>
    <row r="44" spans="1:3" ht="12.75">
      <c r="A44" s="302" t="s">
        <v>544</v>
      </c>
      <c r="B44" s="158" t="s">
        <v>545</v>
      </c>
      <c r="C44" s="303"/>
    </row>
    <row r="45" spans="1:2" ht="12.75">
      <c r="A45" s="247" t="s">
        <v>546</v>
      </c>
      <c r="B45" s="158" t="s">
        <v>547</v>
      </c>
    </row>
    <row r="46" ht="5.25" customHeight="1"/>
    <row r="47" spans="1:2" ht="12.75">
      <c r="A47" s="247" t="s">
        <v>548</v>
      </c>
      <c r="B47" s="158" t="s">
        <v>549</v>
      </c>
    </row>
    <row r="48" spans="1:2" ht="12.75">
      <c r="A48" s="247" t="s">
        <v>550</v>
      </c>
      <c r="B48" s="158" t="s">
        <v>551</v>
      </c>
    </row>
    <row r="49" ht="6" customHeight="1" thickBot="1"/>
    <row r="50" spans="1:6" ht="14.25">
      <c r="A50" s="302" t="s">
        <v>552</v>
      </c>
      <c r="B50" s="304" t="s">
        <v>553</v>
      </c>
      <c r="C50" s="305" t="s">
        <v>537</v>
      </c>
      <c r="D50" s="306" t="s">
        <v>554</v>
      </c>
      <c r="E50" s="307" t="s">
        <v>555</v>
      </c>
      <c r="F50" s="308" t="s">
        <v>537</v>
      </c>
    </row>
    <row r="51" spans="3:6" ht="13.5" thickBot="1">
      <c r="C51" s="309" t="s">
        <v>535</v>
      </c>
      <c r="E51" s="310"/>
      <c r="F51" s="311" t="s">
        <v>535</v>
      </c>
    </row>
    <row r="52" ht="12.75">
      <c r="E52" s="158"/>
    </row>
    <row r="53" spans="1:5" ht="12.75">
      <c r="A53" s="300" t="s">
        <v>556</v>
      </c>
      <c r="E53" s="158"/>
    </row>
    <row r="54" ht="7.5" customHeight="1"/>
    <row r="55" spans="1:6" ht="14.25">
      <c r="A55" s="190" t="s">
        <v>557</v>
      </c>
      <c r="E55" s="312" t="s">
        <v>558</v>
      </c>
      <c r="F55" s="313" t="s">
        <v>559</v>
      </c>
    </row>
    <row r="56" spans="5:6" ht="12.75">
      <c r="E56" s="314" t="s">
        <v>560</v>
      </c>
      <c r="F56" s="315"/>
    </row>
    <row r="57" ht="12.75">
      <c r="E57" s="316"/>
    </row>
    <row r="58" ht="12.75">
      <c r="A58" s="158" t="s">
        <v>561</v>
      </c>
    </row>
    <row r="60" ht="12.75">
      <c r="A60" t="s">
        <v>562</v>
      </c>
    </row>
    <row r="61" spans="1:7" ht="12.75">
      <c r="A61" t="s">
        <v>563</v>
      </c>
      <c r="E61" s="317" t="s">
        <v>564</v>
      </c>
      <c r="F61" s="317"/>
      <c r="G61" s="317"/>
    </row>
    <row r="62" spans="5:7" ht="12.75">
      <c r="E62" s="318" t="s">
        <v>565</v>
      </c>
      <c r="F62" s="319"/>
      <c r="G62" s="320"/>
    </row>
    <row r="65" ht="12.75">
      <c r="A65" s="300" t="s">
        <v>566</v>
      </c>
    </row>
    <row r="66" ht="12.75">
      <c r="E66" s="321" t="s">
        <v>567</v>
      </c>
    </row>
    <row r="67" ht="12.75">
      <c r="A67" s="158" t="s">
        <v>568</v>
      </c>
    </row>
    <row r="68" ht="13.5" thickBot="1"/>
    <row r="69" spans="1:5" ht="12.75">
      <c r="A69" s="158" t="s">
        <v>569</v>
      </c>
      <c r="E69" s="322" t="s">
        <v>570</v>
      </c>
    </row>
    <row r="70" ht="13.5" thickBot="1">
      <c r="E70" s="323" t="s">
        <v>531</v>
      </c>
    </row>
    <row r="72" ht="12.75">
      <c r="A72" s="300" t="s">
        <v>571</v>
      </c>
    </row>
    <row r="73" ht="12.75">
      <c r="E73" s="324"/>
    </row>
    <row r="74" spans="1:5" ht="12.75">
      <c r="A74" t="s">
        <v>572</v>
      </c>
      <c r="E74" s="325" t="s">
        <v>573</v>
      </c>
    </row>
    <row r="75" spans="1:5" ht="13.5" thickBot="1">
      <c r="A75" t="s">
        <v>574</v>
      </c>
      <c r="E75" s="326" t="s">
        <v>539</v>
      </c>
    </row>
    <row r="76" ht="12.75">
      <c r="E76" s="325" t="s">
        <v>575</v>
      </c>
    </row>
    <row r="77" ht="12.75">
      <c r="E77" s="327" t="s">
        <v>531</v>
      </c>
    </row>
    <row r="78" ht="12.75">
      <c r="E78" s="328"/>
    </row>
    <row r="79" ht="15.75">
      <c r="A79" s="246" t="s">
        <v>576</v>
      </c>
    </row>
    <row r="81" ht="12.75">
      <c r="A81" t="s">
        <v>577</v>
      </c>
    </row>
    <row r="82" ht="5.25" customHeight="1" thickBot="1"/>
    <row r="83" spans="1:6" ht="6" customHeight="1">
      <c r="A83" s="254"/>
      <c r="B83" s="255"/>
      <c r="C83" s="256"/>
      <c r="D83" s="257"/>
      <c r="E83" s="257"/>
      <c r="F83" s="258"/>
    </row>
    <row r="84" spans="1:6" ht="12.75">
      <c r="A84" s="259" t="s">
        <v>441</v>
      </c>
      <c r="B84" s="185"/>
      <c r="C84" s="260"/>
      <c r="D84" s="261"/>
      <c r="E84" s="262">
        <v>990000</v>
      </c>
      <c r="F84" s="263"/>
    </row>
    <row r="85" spans="1:6" ht="12.75">
      <c r="A85" s="259" t="s">
        <v>477</v>
      </c>
      <c r="B85" s="185"/>
      <c r="C85" s="260"/>
      <c r="D85" s="262">
        <v>523200</v>
      </c>
      <c r="E85" s="261"/>
      <c r="F85" s="263"/>
    </row>
    <row r="86" spans="1:6" ht="12.75">
      <c r="A86" s="259" t="s">
        <v>479</v>
      </c>
      <c r="B86" s="4"/>
      <c r="C86" s="260"/>
      <c r="D86" s="264">
        <v>65700</v>
      </c>
      <c r="E86" s="261"/>
      <c r="F86" s="263"/>
    </row>
    <row r="87" spans="1:6" ht="12.75">
      <c r="A87" s="265" t="s">
        <v>480</v>
      </c>
      <c r="B87" s="4"/>
      <c r="C87" s="260"/>
      <c r="D87" s="266">
        <f>D85+D86</f>
        <v>588900</v>
      </c>
      <c r="E87" s="267"/>
      <c r="F87" s="263"/>
    </row>
    <row r="88" spans="1:6" ht="12.75">
      <c r="A88" s="259" t="s">
        <v>481</v>
      </c>
      <c r="B88" s="185"/>
      <c r="C88" s="260"/>
      <c r="D88" s="264">
        <v>16900</v>
      </c>
      <c r="E88" s="267"/>
      <c r="F88" s="263"/>
    </row>
    <row r="89" spans="1:6" ht="12.75">
      <c r="A89" s="265" t="s">
        <v>483</v>
      </c>
      <c r="B89" s="4"/>
      <c r="C89" s="260"/>
      <c r="D89" s="266">
        <f>D87+D88</f>
        <v>605800</v>
      </c>
      <c r="E89" s="267"/>
      <c r="F89" s="263"/>
    </row>
    <row r="90" spans="1:6" ht="12.75">
      <c r="A90" s="259" t="s">
        <v>484</v>
      </c>
      <c r="B90" s="4"/>
      <c r="C90" s="260"/>
      <c r="D90" s="264">
        <v>87200</v>
      </c>
      <c r="E90" s="267"/>
      <c r="F90" s="263"/>
    </row>
    <row r="91" spans="1:6" ht="12.75">
      <c r="A91" s="268" t="s">
        <v>485</v>
      </c>
      <c r="B91" s="4"/>
      <c r="C91" s="260"/>
      <c r="D91" s="269">
        <f>D89+D90</f>
        <v>693000</v>
      </c>
      <c r="E91" s="264">
        <f>D91</f>
        <v>693000</v>
      </c>
      <c r="F91" s="263"/>
    </row>
    <row r="92" spans="1:6" ht="12.75">
      <c r="A92" s="270" t="s">
        <v>486</v>
      </c>
      <c r="B92" s="271"/>
      <c r="C92" s="272"/>
      <c r="D92" s="273"/>
      <c r="E92" s="274">
        <f>E84-E91</f>
        <v>297000</v>
      </c>
      <c r="F92" s="275">
        <f>E92/E84</f>
        <v>0.3</v>
      </c>
    </row>
    <row r="93" spans="1:6" ht="12.75">
      <c r="A93" s="259" t="s">
        <v>488</v>
      </c>
      <c r="B93" s="4"/>
      <c r="C93" s="260"/>
      <c r="D93" s="267"/>
      <c r="E93" s="264">
        <v>141000</v>
      </c>
      <c r="F93" s="276" t="s">
        <v>489</v>
      </c>
    </row>
    <row r="94" spans="1:6" ht="12.75">
      <c r="A94" s="277" t="s">
        <v>120</v>
      </c>
      <c r="B94" s="277"/>
      <c r="C94" s="260"/>
      <c r="D94" s="267"/>
      <c r="E94" s="262">
        <f>E92-E93</f>
        <v>156000</v>
      </c>
      <c r="F94" s="263"/>
    </row>
    <row r="95" spans="1:6" ht="5.25" customHeight="1" thickBot="1">
      <c r="A95" s="278"/>
      <c r="B95" s="279"/>
      <c r="C95" s="280"/>
      <c r="D95" s="281"/>
      <c r="E95" s="281"/>
      <c r="F95" s="282"/>
    </row>
    <row r="97" spans="1:6" ht="12.75">
      <c r="A97" s="329" t="s">
        <v>473</v>
      </c>
      <c r="B97" s="329"/>
      <c r="C97" s="329"/>
      <c r="D97" s="329"/>
      <c r="E97" s="329"/>
      <c r="F97" s="329"/>
    </row>
    <row r="98" ht="5.25" customHeight="1"/>
    <row r="99" ht="12.75">
      <c r="A99" s="158" t="s">
        <v>578</v>
      </c>
    </row>
    <row r="100" spans="1:6" ht="12.75">
      <c r="A100" s="158" t="s">
        <v>579</v>
      </c>
      <c r="E100" s="330" t="s">
        <v>580</v>
      </c>
      <c r="F100" s="331">
        <v>230000</v>
      </c>
    </row>
    <row r="101" spans="5:6" ht="12.75" customHeight="1">
      <c r="E101" s="332" t="s">
        <v>581</v>
      </c>
      <c r="F101" s="262">
        <v>125000</v>
      </c>
    </row>
    <row r="102" spans="5:6" ht="12.75" customHeight="1">
      <c r="E102" s="332" t="s">
        <v>582</v>
      </c>
      <c r="F102" s="262">
        <v>34000</v>
      </c>
    </row>
    <row r="103" spans="5:6" ht="12.75">
      <c r="E103" s="332" t="s">
        <v>583</v>
      </c>
      <c r="F103" s="262">
        <v>75000</v>
      </c>
    </row>
    <row r="104" spans="5:6" ht="12.75">
      <c r="E104" s="332" t="s">
        <v>584</v>
      </c>
      <c r="F104" s="262">
        <v>12500</v>
      </c>
    </row>
    <row r="105" spans="5:6" ht="12.75">
      <c r="E105" s="332" t="s">
        <v>585</v>
      </c>
      <c r="F105" s="262">
        <v>7900</v>
      </c>
    </row>
    <row r="106" spans="5:6" ht="12.75">
      <c r="E106" s="332" t="s">
        <v>586</v>
      </c>
      <c r="F106" s="262">
        <v>6000</v>
      </c>
    </row>
    <row r="107" spans="5:6" ht="12.75">
      <c r="E107" s="332" t="s">
        <v>587</v>
      </c>
      <c r="F107" s="262">
        <v>5500</v>
      </c>
    </row>
    <row r="108" spans="5:6" ht="12.75">
      <c r="E108" s="332" t="s">
        <v>588</v>
      </c>
      <c r="F108" s="262">
        <v>25900</v>
      </c>
    </row>
    <row r="109" spans="5:6" ht="12.75">
      <c r="E109" s="332" t="s">
        <v>589</v>
      </c>
      <c r="F109" s="262">
        <v>68200</v>
      </c>
    </row>
    <row r="110" spans="5:6" ht="12.75">
      <c r="E110" s="332" t="s">
        <v>590</v>
      </c>
      <c r="F110" s="262">
        <v>130000</v>
      </c>
    </row>
    <row r="111" spans="5:7" ht="12.75">
      <c r="E111" s="333" t="s">
        <v>591</v>
      </c>
      <c r="F111" s="264">
        <v>270000</v>
      </c>
      <c r="G111" s="283"/>
    </row>
    <row r="112" spans="1:6" ht="12.75">
      <c r="A112" s="158" t="s">
        <v>592</v>
      </c>
      <c r="E112" s="334" t="s">
        <v>593</v>
      </c>
      <c r="F112" s="335">
        <f>SUM(F100:F111)</f>
        <v>990000</v>
      </c>
    </row>
    <row r="113" ht="12.75">
      <c r="A113" s="158" t="s">
        <v>594</v>
      </c>
    </row>
    <row r="114" spans="1:3" ht="12.75">
      <c r="A114" s="198" t="s">
        <v>595</v>
      </c>
      <c r="C114" s="336">
        <v>0.4</v>
      </c>
    </row>
    <row r="115" spans="1:7" ht="12.75">
      <c r="A115" s="190" t="s">
        <v>596</v>
      </c>
      <c r="E115" s="337" t="s">
        <v>597</v>
      </c>
      <c r="F115" s="338">
        <v>2000</v>
      </c>
      <c r="G115" s="248" t="s">
        <v>598</v>
      </c>
    </row>
    <row r="116" spans="1:7" ht="12.75">
      <c r="A116" s="339"/>
      <c r="E116" s="190"/>
      <c r="F116" s="336"/>
      <c r="G116" s="248"/>
    </row>
    <row r="117" spans="1:8" ht="15.75">
      <c r="A117" s="340" t="s">
        <v>599</v>
      </c>
      <c r="B117" s="340"/>
      <c r="C117" s="340"/>
      <c r="D117" s="340"/>
      <c r="E117" s="340"/>
      <c r="F117" s="340"/>
      <c r="G117" s="340"/>
      <c r="H117" s="340"/>
    </row>
    <row r="119" spans="1:6" ht="12.75">
      <c r="A119" s="158" t="s">
        <v>600</v>
      </c>
      <c r="D119" s="5" t="s">
        <v>601</v>
      </c>
      <c r="E119" s="303" t="s">
        <v>263</v>
      </c>
      <c r="F119" s="341">
        <f>E93/F92</f>
        <v>470000</v>
      </c>
    </row>
    <row r="120" spans="1:6" ht="12.75">
      <c r="A120" s="158"/>
      <c r="D120" s="5"/>
      <c r="E120" s="303"/>
      <c r="F120" s="342"/>
    </row>
    <row r="122" spans="1:6" ht="12.75">
      <c r="A122" s="158" t="s">
        <v>602</v>
      </c>
      <c r="D122" s="343" t="s">
        <v>603</v>
      </c>
      <c r="E122" s="343" t="s">
        <v>604</v>
      </c>
      <c r="F122" s="343" t="s">
        <v>605</v>
      </c>
    </row>
    <row r="123" spans="4:6" ht="12.75">
      <c r="D123" s="332" t="s">
        <v>580</v>
      </c>
      <c r="E123" s="262">
        <f>F100</f>
        <v>230000</v>
      </c>
      <c r="F123" s="344">
        <f>E123</f>
        <v>230000</v>
      </c>
    </row>
    <row r="124" spans="4:6" ht="12.75">
      <c r="D124" s="332" t="s">
        <v>581</v>
      </c>
      <c r="E124" s="262">
        <f aca="true" t="shared" si="0" ref="E124:E134">F101</f>
        <v>125000</v>
      </c>
      <c r="F124" s="344">
        <f>F123+E124</f>
        <v>355000</v>
      </c>
    </row>
    <row r="125" spans="4:6" ht="12.75">
      <c r="D125" s="332" t="s">
        <v>582</v>
      </c>
      <c r="E125" s="262">
        <f t="shared" si="0"/>
        <v>34000</v>
      </c>
      <c r="F125" s="344">
        <f aca="true" t="shared" si="1" ref="F125:F134">F124+E125</f>
        <v>389000</v>
      </c>
    </row>
    <row r="126" spans="4:6" ht="12.75">
      <c r="D126" s="332" t="s">
        <v>583</v>
      </c>
      <c r="E126" s="262">
        <f t="shared" si="0"/>
        <v>75000</v>
      </c>
      <c r="F126" s="344">
        <f t="shared" si="1"/>
        <v>464000</v>
      </c>
    </row>
    <row r="127" spans="4:6" ht="12.75">
      <c r="D127" s="332" t="s">
        <v>584</v>
      </c>
      <c r="E127" s="262">
        <f t="shared" si="0"/>
        <v>12500</v>
      </c>
      <c r="F127" s="344">
        <f t="shared" si="1"/>
        <v>476500</v>
      </c>
    </row>
    <row r="128" spans="4:6" ht="12.75">
      <c r="D128" s="332" t="s">
        <v>585</v>
      </c>
      <c r="E128" s="262">
        <f t="shared" si="0"/>
        <v>7900</v>
      </c>
      <c r="F128" s="344">
        <f t="shared" si="1"/>
        <v>484400</v>
      </c>
    </row>
    <row r="129" spans="4:6" ht="12.75">
      <c r="D129" s="332" t="s">
        <v>586</v>
      </c>
      <c r="E129" s="262">
        <f t="shared" si="0"/>
        <v>6000</v>
      </c>
      <c r="F129" s="344">
        <f t="shared" si="1"/>
        <v>490400</v>
      </c>
    </row>
    <row r="130" spans="4:6" ht="12.75">
      <c r="D130" s="332" t="s">
        <v>587</v>
      </c>
      <c r="E130" s="262">
        <f t="shared" si="0"/>
        <v>5500</v>
      </c>
      <c r="F130" s="344">
        <f t="shared" si="1"/>
        <v>495900</v>
      </c>
    </row>
    <row r="131" spans="4:6" ht="12.75">
      <c r="D131" s="332" t="s">
        <v>588</v>
      </c>
      <c r="E131" s="262">
        <f t="shared" si="0"/>
        <v>25900</v>
      </c>
      <c r="F131" s="344">
        <f t="shared" si="1"/>
        <v>521800</v>
      </c>
    </row>
    <row r="132" spans="4:6" ht="12.75">
      <c r="D132" s="332" t="s">
        <v>589</v>
      </c>
      <c r="E132" s="262">
        <f t="shared" si="0"/>
        <v>68200</v>
      </c>
      <c r="F132" s="344">
        <f t="shared" si="1"/>
        <v>590000</v>
      </c>
    </row>
    <row r="133" spans="4:6" ht="12.75">
      <c r="D133" s="332" t="s">
        <v>590</v>
      </c>
      <c r="E133" s="262">
        <f t="shared" si="0"/>
        <v>130000</v>
      </c>
      <c r="F133" s="344">
        <f t="shared" si="1"/>
        <v>720000</v>
      </c>
    </row>
    <row r="134" spans="4:6" ht="12.75">
      <c r="D134" s="333" t="s">
        <v>591</v>
      </c>
      <c r="E134" s="264">
        <f t="shared" si="0"/>
        <v>270000</v>
      </c>
      <c r="F134" s="345">
        <f t="shared" si="1"/>
        <v>990000</v>
      </c>
    </row>
    <row r="136" spans="4:6" ht="12.75">
      <c r="D136" s="346" t="s">
        <v>606</v>
      </c>
      <c r="E136" s="346"/>
      <c r="F136" s="162">
        <f>(F119-F126)/(F127-F126)</f>
        <v>0.48</v>
      </c>
    </row>
    <row r="137" spans="5:6" ht="12.75">
      <c r="E137" s="190" t="s">
        <v>607</v>
      </c>
      <c r="F137" s="347" t="s">
        <v>608</v>
      </c>
    </row>
    <row r="138" spans="5:6" ht="12.75">
      <c r="E138" s="190"/>
      <c r="F138" s="348"/>
    </row>
    <row r="140" spans="1:6" ht="12.75">
      <c r="A140" s="158" t="s">
        <v>609</v>
      </c>
      <c r="D140" s="5" t="s">
        <v>610</v>
      </c>
      <c r="F140" s="341">
        <f>E84-F119</f>
        <v>520000</v>
      </c>
    </row>
    <row r="142" spans="1:6" ht="12.75">
      <c r="A142" s="158" t="s">
        <v>611</v>
      </c>
      <c r="D142" s="5" t="s">
        <v>612</v>
      </c>
      <c r="F142" s="349">
        <f>F140/E84</f>
        <v>0.5252525252525253</v>
      </c>
    </row>
    <row r="145" ht="12.75">
      <c r="A145" s="158" t="s">
        <v>613</v>
      </c>
    </row>
    <row r="146" ht="12.75">
      <c r="D146" s="5"/>
    </row>
    <row r="147" spans="2:5" ht="12.75">
      <c r="B147" s="350" t="s">
        <v>614</v>
      </c>
      <c r="D147" s="5" t="s">
        <v>615</v>
      </c>
      <c r="E147" s="351">
        <f>E84*(1+'[1]Seuil de rentabilité'!C114)</f>
        <v>1386000</v>
      </c>
    </row>
    <row r="148" spans="2:6" ht="12.75">
      <c r="B148" s="350" t="s">
        <v>616</v>
      </c>
      <c r="D148" s="5" t="s">
        <v>617</v>
      </c>
      <c r="E148" s="351">
        <f>E147*F92</f>
        <v>415800</v>
      </c>
      <c r="F148" s="283"/>
    </row>
    <row r="149" spans="2:5" ht="13.5" thickBot="1">
      <c r="B149" s="350" t="s">
        <v>618</v>
      </c>
      <c r="D149" s="5" t="s">
        <v>619</v>
      </c>
      <c r="E149" s="352">
        <f>E93+'[1]Seuil de rentabilité'!F115*12</f>
        <v>165000</v>
      </c>
    </row>
    <row r="150" spans="2:5" ht="12.75">
      <c r="B150" s="250" t="s">
        <v>620</v>
      </c>
      <c r="C150" s="250"/>
      <c r="D150" s="250"/>
      <c r="E150" s="353">
        <f>E148-E149</f>
        <v>250800</v>
      </c>
    </row>
    <row r="152" spans="4:6" ht="12.75">
      <c r="D152" s="350" t="s">
        <v>621</v>
      </c>
      <c r="E152" s="354"/>
      <c r="F152" s="355">
        <f>((E150-E94)/E94)/((E147-E84)/E84)</f>
        <v>1.519230769230769</v>
      </c>
    </row>
    <row r="153" ht="13.5" thickBot="1"/>
    <row r="154" spans="4:7" ht="12.75">
      <c r="D154" s="254"/>
      <c r="E154" s="255"/>
      <c r="F154" s="255"/>
      <c r="G154" s="258"/>
    </row>
    <row r="155" spans="2:7" ht="12.75">
      <c r="B155" s="190" t="s">
        <v>622</v>
      </c>
      <c r="D155" s="356" t="s">
        <v>623</v>
      </c>
      <c r="E155" s="356"/>
      <c r="F155" s="356"/>
      <c r="G155" s="356"/>
    </row>
    <row r="156" spans="4:7" ht="13.5" thickBot="1">
      <c r="D156" s="278"/>
      <c r="E156" s="279"/>
      <c r="F156" s="279"/>
      <c r="G156" s="282"/>
    </row>
    <row r="159" ht="15.75">
      <c r="A159" s="246" t="s">
        <v>624</v>
      </c>
    </row>
    <row r="161" ht="12.75">
      <c r="A161" t="s">
        <v>625</v>
      </c>
    </row>
    <row r="162" spans="1:5" ht="12.75">
      <c r="A162" t="s">
        <v>626</v>
      </c>
      <c r="E162" s="162"/>
    </row>
    <row r="163" ht="12.75">
      <c r="A163" t="s">
        <v>627</v>
      </c>
    </row>
    <row r="164" ht="12.75">
      <c r="A164" t="s">
        <v>628</v>
      </c>
    </row>
    <row r="165" ht="9" customHeight="1"/>
    <row r="166" spans="1:3" ht="12.75">
      <c r="A166" s="357" t="s">
        <v>629</v>
      </c>
      <c r="B166" s="358"/>
      <c r="C166" s="359">
        <v>2200000</v>
      </c>
    </row>
    <row r="167" spans="1:3" ht="12.75">
      <c r="A167" s="357" t="s">
        <v>158</v>
      </c>
      <c r="B167" s="358"/>
      <c r="C167" s="359">
        <v>2118000</v>
      </c>
    </row>
    <row r="168" spans="1:4" ht="12.75">
      <c r="A168" s="360" t="s">
        <v>630</v>
      </c>
      <c r="B168" s="360"/>
      <c r="C168" s="361">
        <v>1848000</v>
      </c>
      <c r="D168" s="362"/>
    </row>
    <row r="169" spans="1:3" ht="12.75">
      <c r="A169" s="363" t="s">
        <v>631</v>
      </c>
      <c r="B169" s="364"/>
      <c r="C169" s="365">
        <v>270000</v>
      </c>
    </row>
    <row r="171" spans="1:3" ht="12.75">
      <c r="A171" t="s">
        <v>401</v>
      </c>
      <c r="B171" s="366">
        <v>0.08</v>
      </c>
      <c r="C171" s="190" t="s">
        <v>632</v>
      </c>
    </row>
    <row r="172" spans="1:3" ht="12.75">
      <c r="A172" t="s">
        <v>633</v>
      </c>
      <c r="B172" s="367">
        <v>42000</v>
      </c>
      <c r="C172" s="190" t="s">
        <v>632</v>
      </c>
    </row>
    <row r="173" ht="7.5" customHeight="1"/>
    <row r="174" spans="1:4" ht="12.75">
      <c r="A174" s="368"/>
      <c r="D174" s="190"/>
    </row>
    <row r="176" ht="12.75">
      <c r="A176" s="164" t="s">
        <v>634</v>
      </c>
    </row>
    <row r="177" ht="8.25" customHeight="1"/>
    <row r="178" ht="8.25" customHeight="1"/>
    <row r="179" spans="1:5" ht="12.75">
      <c r="A179" s="158" t="s">
        <v>635</v>
      </c>
      <c r="B179" s="158" t="s">
        <v>636</v>
      </c>
      <c r="C179" s="158"/>
      <c r="D179" s="158"/>
      <c r="E179" s="158"/>
    </row>
    <row r="180" spans="1:5" ht="7.5" customHeight="1">
      <c r="A180" s="158"/>
      <c r="B180" s="158"/>
      <c r="C180" s="158"/>
      <c r="D180" s="158"/>
      <c r="E180" s="158"/>
    </row>
    <row r="181" spans="1:5" ht="12.75">
      <c r="A181" s="158" t="s">
        <v>637</v>
      </c>
      <c r="B181" s="158" t="s">
        <v>638</v>
      </c>
      <c r="C181" s="158"/>
      <c r="D181" s="158"/>
      <c r="E181" s="158"/>
    </row>
    <row r="182" spans="1:5" ht="7.5" customHeight="1">
      <c r="A182" s="158"/>
      <c r="B182" s="158"/>
      <c r="C182" s="158"/>
      <c r="D182" s="158"/>
      <c r="E182" s="158"/>
    </row>
    <row r="183" spans="1:5" ht="12" customHeight="1">
      <c r="A183" s="158" t="s">
        <v>639</v>
      </c>
      <c r="B183" s="368" t="s">
        <v>640</v>
      </c>
      <c r="C183" s="158"/>
      <c r="D183" s="366"/>
      <c r="E183" s="158"/>
    </row>
    <row r="184" spans="1:7" ht="12.75">
      <c r="A184" s="158"/>
      <c r="B184" s="368" t="s">
        <v>641</v>
      </c>
      <c r="C184" s="158"/>
      <c r="D184" s="366"/>
      <c r="E184" s="158"/>
      <c r="F184" s="366">
        <v>0.1</v>
      </c>
      <c r="G184" s="368" t="s">
        <v>642</v>
      </c>
    </row>
    <row r="185" spans="1:7" ht="12.75">
      <c r="A185" s="158"/>
      <c r="B185" s="368" t="s">
        <v>643</v>
      </c>
      <c r="C185" s="158"/>
      <c r="D185" s="366"/>
      <c r="E185" s="158"/>
      <c r="F185" s="366"/>
      <c r="G185" s="158"/>
    </row>
    <row r="186" spans="1:7" ht="12.75">
      <c r="A186" s="158"/>
      <c r="B186" s="368" t="s">
        <v>644</v>
      </c>
      <c r="C186" s="158"/>
      <c r="D186" s="366"/>
      <c r="E186" s="158"/>
      <c r="F186" s="366"/>
      <c r="G186" s="158"/>
    </row>
    <row r="187" spans="1:7" ht="12.75">
      <c r="A187" s="158"/>
      <c r="B187" s="368" t="s">
        <v>645</v>
      </c>
      <c r="C187" s="158"/>
      <c r="E187" s="369">
        <v>-3</v>
      </c>
      <c r="F187" s="366"/>
      <c r="G187" s="158"/>
    </row>
    <row r="188" spans="1:7" ht="12.75">
      <c r="A188" s="158"/>
      <c r="B188" s="368" t="s">
        <v>646</v>
      </c>
      <c r="C188" s="158"/>
      <c r="E188" s="369"/>
      <c r="F188" s="366"/>
      <c r="G188" s="158"/>
    </row>
    <row r="189" spans="1:7" ht="12.75">
      <c r="A189" s="158"/>
      <c r="B189" s="368" t="s">
        <v>647</v>
      </c>
      <c r="C189" s="158"/>
      <c r="G189" s="370">
        <v>0.05</v>
      </c>
    </row>
    <row r="190" spans="2:7" ht="12.75">
      <c r="B190" s="158" t="s">
        <v>648</v>
      </c>
      <c r="C190" s="158"/>
      <c r="D190" s="158"/>
      <c r="E190" s="158"/>
      <c r="G190" s="158"/>
    </row>
    <row r="191" spans="2:7" ht="8.25" customHeight="1">
      <c r="B191" s="158"/>
      <c r="C191" s="158"/>
      <c r="D191" s="158"/>
      <c r="E191" s="158"/>
      <c r="G191" s="158"/>
    </row>
    <row r="192" spans="1:2" ht="12.75">
      <c r="A192" s="158" t="s">
        <v>649</v>
      </c>
      <c r="B192" s="158" t="s">
        <v>650</v>
      </c>
    </row>
    <row r="193" spans="1:2" ht="12.75">
      <c r="A193" s="158"/>
      <c r="B193" s="158"/>
    </row>
    <row r="195" spans="1:3" ht="12.75">
      <c r="A195" s="61" t="s">
        <v>635</v>
      </c>
      <c r="B195" s="371" t="s">
        <v>651</v>
      </c>
      <c r="C195" s="371"/>
    </row>
    <row r="196" ht="13.5" thickBot="1"/>
    <row r="197" spans="1:3" ht="12.75">
      <c r="A197" s="372"/>
      <c r="B197" s="373" t="s">
        <v>652</v>
      </c>
      <c r="C197" s="374" t="s">
        <v>215</v>
      </c>
    </row>
    <row r="198" spans="1:3" ht="12.75">
      <c r="A198" s="375" t="s">
        <v>441</v>
      </c>
      <c r="B198" s="376">
        <f>C166</f>
        <v>2200000</v>
      </c>
      <c r="C198" s="377"/>
    </row>
    <row r="199" spans="1:3" ht="12.75">
      <c r="A199" s="378" t="s">
        <v>653</v>
      </c>
      <c r="B199" s="284"/>
      <c r="C199" s="379"/>
    </row>
    <row r="200" spans="1:3" ht="12.75">
      <c r="A200" s="380" t="s">
        <v>654</v>
      </c>
      <c r="B200" s="381">
        <f>-C168</f>
        <v>-1848000</v>
      </c>
      <c r="C200" s="382">
        <f>ABS(B200)/B198</f>
        <v>0.84</v>
      </c>
    </row>
    <row r="201" spans="1:4" ht="12.75">
      <c r="A201" s="375" t="s">
        <v>655</v>
      </c>
      <c r="B201" s="383">
        <f>B198+B200</f>
        <v>352000</v>
      </c>
      <c r="C201" s="384">
        <f>B201/B198</f>
        <v>0.16</v>
      </c>
      <c r="D201" s="5" t="s">
        <v>510</v>
      </c>
    </row>
    <row r="202" spans="1:3" ht="12.75">
      <c r="A202" s="380" t="s">
        <v>445</v>
      </c>
      <c r="B202" s="385">
        <f>-C169</f>
        <v>-270000</v>
      </c>
      <c r="C202" s="382">
        <f>ABS(B202)/B198</f>
        <v>0.12272727272727273</v>
      </c>
    </row>
    <row r="203" spans="1:3" ht="13.5" thickBot="1">
      <c r="A203" s="386" t="s">
        <v>162</v>
      </c>
      <c r="B203" s="387">
        <f>B201+B202</f>
        <v>82000</v>
      </c>
      <c r="C203" s="388">
        <f>B203/B198</f>
        <v>0.03727272727272727</v>
      </c>
    </row>
    <row r="206" spans="1:3" ht="12.75">
      <c r="A206" s="61" t="s">
        <v>637</v>
      </c>
      <c r="B206" s="371" t="s">
        <v>656</v>
      </c>
      <c r="C206" s="61"/>
    </row>
    <row r="208" spans="1:3" ht="12.75">
      <c r="A208" s="162" t="s">
        <v>657</v>
      </c>
      <c r="B208" s="389">
        <f>ABS(B202)/C201</f>
        <v>1687500</v>
      </c>
      <c r="C208" s="390" t="s">
        <v>658</v>
      </c>
    </row>
    <row r="209" spans="1:3" ht="12.75">
      <c r="A209" s="162"/>
      <c r="B209" s="391"/>
      <c r="C209" s="350"/>
    </row>
    <row r="210" spans="1:3" ht="12.75">
      <c r="A210" s="162" t="s">
        <v>659</v>
      </c>
      <c r="B210" s="355">
        <f>(B208/B198)*360</f>
        <v>276.1363636363636</v>
      </c>
      <c r="C210" s="392" t="s">
        <v>660</v>
      </c>
    </row>
    <row r="211" spans="1:3" ht="12.75">
      <c r="A211" s="393" t="s">
        <v>661</v>
      </c>
      <c r="B211" s="347" t="s">
        <v>662</v>
      </c>
      <c r="C211" s="390" t="s">
        <v>663</v>
      </c>
    </row>
    <row r="216" spans="1:2" ht="12.75">
      <c r="A216" s="61" t="s">
        <v>639</v>
      </c>
      <c r="B216" s="371" t="s">
        <v>664</v>
      </c>
    </row>
    <row r="219" spans="1:2" ht="12.75">
      <c r="A219" s="394" t="s">
        <v>665</v>
      </c>
      <c r="B219" t="s">
        <v>666</v>
      </c>
    </row>
    <row r="220" ht="12.75">
      <c r="B220" t="s">
        <v>667</v>
      </c>
    </row>
    <row r="221" ht="12.75">
      <c r="D221" s="395"/>
    </row>
    <row r="222" spans="2:5" ht="12.75" customHeight="1">
      <c r="B222" s="316"/>
      <c r="C222" s="396"/>
      <c r="E222" s="397"/>
    </row>
    <row r="223" spans="3:7" ht="12.75">
      <c r="C223" s="247"/>
      <c r="E223" s="398"/>
      <c r="F223" s="399" t="s">
        <v>668</v>
      </c>
      <c r="G223" s="349">
        <f>ABS(E187*F184)</f>
        <v>0.30000000000000004</v>
      </c>
    </row>
    <row r="224" spans="3:5" ht="12.75">
      <c r="C224" s="400"/>
      <c r="E224" s="303"/>
    </row>
    <row r="225" ht="12.75">
      <c r="C225" s="401"/>
    </row>
    <row r="226" ht="12.75">
      <c r="C226" s="401"/>
    </row>
    <row r="227" spans="2:6" ht="12" customHeight="1">
      <c r="B227" s="190" t="s">
        <v>669</v>
      </c>
      <c r="C227" s="24" t="s">
        <v>670</v>
      </c>
      <c r="F227" s="399"/>
    </row>
    <row r="228" ht="9" customHeight="1"/>
    <row r="229" spans="2:4" ht="12.75">
      <c r="B229" s="158" t="s">
        <v>671</v>
      </c>
      <c r="C229" s="402">
        <f>B198*(1-F184)*(1+G223)</f>
        <v>2574000</v>
      </c>
      <c r="D229" s="2"/>
    </row>
    <row r="234" ht="12.75">
      <c r="A234" s="394" t="s">
        <v>672</v>
      </c>
    </row>
    <row r="236" spans="1:5" ht="12.75">
      <c r="A236" s="357" t="s">
        <v>673</v>
      </c>
      <c r="B236" s="403"/>
      <c r="C236" s="403"/>
      <c r="D236" s="404"/>
      <c r="E236" s="405">
        <f>C229</f>
        <v>2574000</v>
      </c>
    </row>
    <row r="237" spans="4:5" ht="12.75">
      <c r="D237" s="406"/>
      <c r="E237" s="407"/>
    </row>
    <row r="238" spans="1:5" ht="12.75">
      <c r="A238" s="158" t="s">
        <v>674</v>
      </c>
      <c r="B238" s="190" t="s">
        <v>675</v>
      </c>
      <c r="D238" s="408">
        <f>ABS(B200)*B171*(1+G223)*(1+G189)</f>
        <v>201801.6</v>
      </c>
      <c r="E238" s="284"/>
    </row>
    <row r="239" spans="1:5" ht="12.75">
      <c r="A239" s="409"/>
      <c r="B239" s="410" t="s">
        <v>676</v>
      </c>
      <c r="C239" s="409"/>
      <c r="D239" s="365">
        <f>ABS(B200*(1-B171)*(1+G223))</f>
        <v>2210208</v>
      </c>
      <c r="E239" s="284"/>
    </row>
    <row r="240" spans="1:5" ht="12.75">
      <c r="A240" s="357" t="s">
        <v>677</v>
      </c>
      <c r="B240" s="403"/>
      <c r="C240" s="358"/>
      <c r="D240" s="411">
        <f>D238+D239</f>
        <v>2412009.6</v>
      </c>
      <c r="E240" s="381">
        <f>D240</f>
        <v>2412009.6</v>
      </c>
    </row>
    <row r="241" spans="1:7" ht="12.75">
      <c r="A241" s="412" t="s">
        <v>678</v>
      </c>
      <c r="B241" s="403"/>
      <c r="C241" s="403"/>
      <c r="D241" s="404"/>
      <c r="E241" s="389">
        <f>E236-E240</f>
        <v>161990.3999999999</v>
      </c>
      <c r="F241" s="413">
        <f>ABS(E241)/E236</f>
        <v>0.0629333333333333</v>
      </c>
      <c r="G241" s="248" t="s">
        <v>489</v>
      </c>
    </row>
    <row r="242" spans="4:5" ht="12.75">
      <c r="D242" s="284"/>
      <c r="E242" s="406"/>
    </row>
    <row r="243" spans="1:5" ht="12.75">
      <c r="A243" s="158" t="s">
        <v>445</v>
      </c>
      <c r="B243" s="190" t="s">
        <v>679</v>
      </c>
      <c r="D243" s="408">
        <f>B172*(1+G189)</f>
        <v>44100</v>
      </c>
      <c r="E243" s="284"/>
    </row>
    <row r="244" spans="1:5" ht="12.75">
      <c r="A244" s="409"/>
      <c r="B244" s="410" t="s">
        <v>680</v>
      </c>
      <c r="C244" s="315"/>
      <c r="D244" s="414">
        <f>C169-B172</f>
        <v>228000</v>
      </c>
      <c r="E244" s="415"/>
    </row>
    <row r="245" spans="1:5" ht="12.75">
      <c r="A245" s="416" t="s">
        <v>681</v>
      </c>
      <c r="B245" s="403"/>
      <c r="C245" s="358"/>
      <c r="D245" s="411">
        <f>D243+D244</f>
        <v>272100</v>
      </c>
      <c r="E245" s="417">
        <f>D245</f>
        <v>272100</v>
      </c>
    </row>
    <row r="246" ht="12.75">
      <c r="E246" s="389"/>
    </row>
    <row r="247" spans="3:6" ht="12.75">
      <c r="C247" s="158" t="s">
        <v>682</v>
      </c>
      <c r="D247" s="164"/>
      <c r="E247" s="418">
        <f>E241-E245</f>
        <v>-110109.6000000001</v>
      </c>
      <c r="F247" s="362"/>
    </row>
    <row r="249" ht="12.75">
      <c r="A249" s="399" t="s">
        <v>683</v>
      </c>
    </row>
    <row r="250" ht="12.75">
      <c r="A250" s="399" t="s">
        <v>684</v>
      </c>
    </row>
    <row r="251" ht="12.75">
      <c r="A251" s="399" t="s">
        <v>685</v>
      </c>
    </row>
    <row r="252" ht="12.75">
      <c r="A252" s="399" t="s">
        <v>686</v>
      </c>
    </row>
    <row r="253" spans="1:6" ht="12.75">
      <c r="A253" s="399" t="s">
        <v>687</v>
      </c>
      <c r="E253" s="362"/>
      <c r="F253" s="362"/>
    </row>
    <row r="254" ht="12.75">
      <c r="E254" s="362"/>
    </row>
    <row r="256" spans="1:2" ht="12.75">
      <c r="A256" s="419" t="s">
        <v>649</v>
      </c>
      <c r="B256" s="394" t="s">
        <v>688</v>
      </c>
    </row>
    <row r="257" ht="6.75" customHeight="1"/>
    <row r="258" ht="12.75">
      <c r="A258" t="s">
        <v>689</v>
      </c>
    </row>
    <row r="259" spans="1:3" ht="12.75">
      <c r="A259" t="s">
        <v>690</v>
      </c>
      <c r="B259" s="420">
        <f>E247</f>
        <v>-110109.6000000001</v>
      </c>
      <c r="C259" t="s">
        <v>404</v>
      </c>
    </row>
    <row r="260" spans="1:6" ht="12.75">
      <c r="A260" t="s">
        <v>691</v>
      </c>
      <c r="E260" s="413">
        <f>(E236-B198)/B198</f>
        <v>0.17</v>
      </c>
      <c r="F260" s="24" t="s">
        <v>692</v>
      </c>
    </row>
    <row r="261" spans="1:7" ht="12.75">
      <c r="A261" t="s">
        <v>693</v>
      </c>
      <c r="E261" s="413">
        <f>C201</f>
        <v>0.16</v>
      </c>
      <c r="F261" s="303" t="s">
        <v>694</v>
      </c>
      <c r="G261" s="413">
        <f>F241</f>
        <v>0.0629333333333333</v>
      </c>
    </row>
    <row r="262" ht="7.5" customHeight="1"/>
    <row r="263" ht="12.75">
      <c r="A263" t="s">
        <v>695</v>
      </c>
    </row>
    <row r="264" spans="1:5" ht="12.75">
      <c r="A264" t="s">
        <v>696</v>
      </c>
      <c r="D264" s="420">
        <f>D238+D243-ABS(B200*B171*(1+G223))-B172</f>
        <v>11709.600000000006</v>
      </c>
      <c r="E264" s="24" t="s">
        <v>697</v>
      </c>
    </row>
    <row r="265" ht="12.75">
      <c r="A265" t="s">
        <v>698</v>
      </c>
    </row>
    <row r="266" ht="12.75">
      <c r="A266" t="s">
        <v>699</v>
      </c>
    </row>
    <row r="267" ht="12.75">
      <c r="A267" t="s">
        <v>700</v>
      </c>
    </row>
  </sheetData>
  <sheetProtection/>
  <mergeCells count="9">
    <mergeCell ref="B150:D150"/>
    <mergeCell ref="D155:G155"/>
    <mergeCell ref="A168:B168"/>
    <mergeCell ref="A1:G1"/>
    <mergeCell ref="E61:G61"/>
    <mergeCell ref="A94:B94"/>
    <mergeCell ref="A97:F97"/>
    <mergeCell ref="A117:H117"/>
    <mergeCell ref="D136:E1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</dc:creator>
  <cp:keywords/>
  <dc:description/>
  <cp:lastModifiedBy>admin</cp:lastModifiedBy>
  <cp:lastPrinted>2015-12-22T15:21:02Z</cp:lastPrinted>
  <dcterms:created xsi:type="dcterms:W3CDTF">2003-01-25T06:28:00Z</dcterms:created>
  <dcterms:modified xsi:type="dcterms:W3CDTF">2016-06-08T13:24:07Z</dcterms:modified>
  <cp:category/>
  <cp:version/>
  <cp:contentType/>
  <cp:contentStatus/>
</cp:coreProperties>
</file>